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  <Override PartName="/xl/charts/colors2.xml" ContentType="application/vnd.ms-office.chartcolorstyle+xml"/>
  <Override PartName="/xl/charts/style2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0" windowWidth="27795" windowHeight="12405"/>
  </bookViews>
  <sheets>
    <sheet name="Sheet1" sheetId="1" r:id="rId1"/>
    <sheet name="Sheet2" sheetId="2" r:id="rId2"/>
    <sheet name="Sheet3" sheetId="3" r:id="rId3"/>
  </sheets>
  <definedNames>
    <definedName name="c_x_1">Sheet1!$Q$4</definedName>
    <definedName name="c_x_2">Sheet1!$S$4</definedName>
    <definedName name="c_y_1">Sheet1!$R$4</definedName>
    <definedName name="c_y_2">Sheet1!$T$4</definedName>
    <definedName name="e_x_1">Sheet1!$M$4</definedName>
    <definedName name="e_x_2">Sheet1!$O$4</definedName>
    <definedName name="e_z_1">Sheet1!$N$4</definedName>
    <definedName name="e_z_2">Sheet1!$P$4</definedName>
    <definedName name="r_x_1">Sheet1!$I$4</definedName>
    <definedName name="r_x_2">Sheet1!$K$4</definedName>
    <definedName name="r_z_1">Sheet1!$J$4</definedName>
    <definedName name="r_z_2">Sheet1!$L$4</definedName>
    <definedName name="range_cx1">OFFSET(c_x_1,0,0,Sheet1!$C$12+1,1)</definedName>
    <definedName name="range_cx2">OFFSET(c_x_2,0,0,Sheet1!$C$12+1,1)</definedName>
    <definedName name="range_cy1">OFFSET(c_y_1,0,0,Sheet1!$C$12+1,1)</definedName>
    <definedName name="range_cy2">OFFSET(c_y_2,0,0,Sheet1!$C$12+1,1)</definedName>
    <definedName name="range_ex1">OFFSET(e_x_1,0,0,Sheet1!$C$12+1,1)</definedName>
    <definedName name="range_ex2">OFFSET(e_x_2,0,0,Sheet1!$C$12+1,1)</definedName>
    <definedName name="range_ez1">OFFSET(e_z_1,0,0,Sheet1!$C$12+1,1)</definedName>
    <definedName name="range_ez2">OFFSET(e_z_2,0,0,Sheet1!$C$12+1,1)</definedName>
    <definedName name="range_rx1">OFFSET(r_x_1,0,0,Sheet1!$C$12+1,1)</definedName>
    <definedName name="range_rx2">OFFSET(r_x_2,0,0,Sheet1!$C$12+1,1)</definedName>
    <definedName name="range_rz1">OFFSET(r_z_1,0,0,Sheet1!$C$12+1,1)</definedName>
    <definedName name="range_rz2">OFFSET(r_z_2,0,0,Sheet1!$C$12+1,1)</definedName>
  </definedNames>
  <calcPr calcId="145621"/>
</workbook>
</file>

<file path=xl/calcChain.xml><?xml version="1.0" encoding="utf-8"?>
<calcChain xmlns="http://schemas.openxmlformats.org/spreadsheetml/2006/main">
  <c r="E25" i="1" l="1"/>
  <c r="E41" i="1"/>
  <c r="E64" i="1" l="1"/>
  <c r="C63" i="1" l="1"/>
  <c r="C60" i="1"/>
  <c r="AV35" i="1"/>
  <c r="AU35" i="1"/>
  <c r="AT35" i="1"/>
  <c r="AS35" i="1"/>
  <c r="AQ35" i="1"/>
  <c r="AP35" i="1"/>
  <c r="AO35" i="1"/>
  <c r="AN35" i="1"/>
  <c r="AL35" i="1"/>
  <c r="AK35" i="1"/>
  <c r="AJ35" i="1"/>
  <c r="AI35" i="1"/>
  <c r="AG35" i="1"/>
  <c r="AF35" i="1"/>
  <c r="AE35" i="1"/>
  <c r="AD35" i="1"/>
  <c r="E65" i="1"/>
  <c r="C62" i="1"/>
  <c r="E62" i="1" s="1"/>
  <c r="C59" i="1"/>
  <c r="E71" i="1"/>
  <c r="E70" i="1"/>
  <c r="C61" i="1" l="1"/>
  <c r="E59" i="1"/>
  <c r="E60" i="1" l="1"/>
  <c r="E74" i="1" l="1"/>
  <c r="C74" i="1" s="1"/>
  <c r="E68" i="1"/>
  <c r="C68" i="1" s="1"/>
  <c r="E61" i="1"/>
  <c r="E72" i="1" l="1"/>
  <c r="G72" i="1" s="1"/>
  <c r="E66" i="1"/>
  <c r="G66" i="1" s="1"/>
  <c r="E73" i="1" l="1"/>
  <c r="G73" i="1" s="1"/>
  <c r="E75" i="1"/>
  <c r="E69" i="1"/>
  <c r="E67" i="1"/>
  <c r="C67" i="1" s="1"/>
  <c r="G67" i="1" l="1"/>
  <c r="C73" i="1"/>
  <c r="V4" i="1" l="1"/>
  <c r="W4" i="1" s="1"/>
  <c r="R6" i="1" l="1"/>
  <c r="AB35" i="1" l="1"/>
  <c r="AA35" i="1"/>
  <c r="Z35" i="1"/>
  <c r="Y35" i="1"/>
  <c r="W35" i="1"/>
  <c r="V35" i="1"/>
  <c r="U35" i="1"/>
  <c r="T35" i="1"/>
  <c r="R35" i="1"/>
  <c r="Q35" i="1"/>
  <c r="P35" i="1"/>
  <c r="O35" i="1"/>
  <c r="J35" i="1"/>
  <c r="K35" i="1"/>
  <c r="L35" i="1"/>
  <c r="M35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J42" i="1"/>
  <c r="K42" i="1"/>
  <c r="J43" i="1"/>
  <c r="K43" i="1"/>
  <c r="J44" i="1"/>
  <c r="K44" i="1"/>
  <c r="J45" i="1"/>
  <c r="K45" i="1"/>
  <c r="J46" i="1"/>
  <c r="K46" i="1"/>
  <c r="J47" i="1"/>
  <c r="K47" i="1"/>
  <c r="J48" i="1"/>
  <c r="K48" i="1"/>
  <c r="J49" i="1"/>
  <c r="K49" i="1"/>
  <c r="J50" i="1"/>
  <c r="K50" i="1"/>
  <c r="J51" i="1"/>
  <c r="K51" i="1"/>
  <c r="J52" i="1"/>
  <c r="K52" i="1"/>
  <c r="J53" i="1"/>
  <c r="K53" i="1"/>
  <c r="J54" i="1"/>
  <c r="K54" i="1"/>
  <c r="J55" i="1"/>
  <c r="K55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C37" i="1" l="1"/>
  <c r="C36" i="1"/>
  <c r="E39" i="1" l="1"/>
  <c r="E33" i="1"/>
  <c r="E37" i="1"/>
  <c r="E36" i="1"/>
  <c r="C34" i="1"/>
  <c r="E34" i="1" s="1"/>
  <c r="E30" i="1"/>
  <c r="E31" i="1"/>
  <c r="R5" i="1"/>
  <c r="T5" i="1"/>
  <c r="T6" i="1"/>
  <c r="R7" i="1"/>
  <c r="T7" i="1"/>
  <c r="R8" i="1"/>
  <c r="T8" i="1"/>
  <c r="R9" i="1"/>
  <c r="T9" i="1"/>
  <c r="R10" i="1"/>
  <c r="T10" i="1"/>
  <c r="R11" i="1"/>
  <c r="T11" i="1"/>
  <c r="Q12" i="1"/>
  <c r="R12" i="1"/>
  <c r="S12" i="1"/>
  <c r="T12" i="1"/>
  <c r="Q13" i="1"/>
  <c r="R13" i="1"/>
  <c r="S13" i="1"/>
  <c r="T13" i="1"/>
  <c r="Q14" i="1"/>
  <c r="R14" i="1"/>
  <c r="S14" i="1"/>
  <c r="T14" i="1"/>
  <c r="Q15" i="1"/>
  <c r="R15" i="1"/>
  <c r="S15" i="1"/>
  <c r="T15" i="1"/>
  <c r="Q16" i="1"/>
  <c r="R16" i="1"/>
  <c r="S16" i="1"/>
  <c r="T16" i="1"/>
  <c r="Q17" i="1"/>
  <c r="R17" i="1"/>
  <c r="S17" i="1"/>
  <c r="T17" i="1"/>
  <c r="Q18" i="1"/>
  <c r="R18" i="1"/>
  <c r="S18" i="1"/>
  <c r="T18" i="1"/>
  <c r="Q19" i="1"/>
  <c r="R19" i="1"/>
  <c r="S19" i="1"/>
  <c r="T19" i="1"/>
  <c r="Q20" i="1"/>
  <c r="R20" i="1"/>
  <c r="S20" i="1"/>
  <c r="T20" i="1"/>
  <c r="Q21" i="1"/>
  <c r="R21" i="1"/>
  <c r="S21" i="1"/>
  <c r="T21" i="1"/>
  <c r="Q22" i="1"/>
  <c r="R22" i="1"/>
  <c r="S22" i="1"/>
  <c r="T22" i="1"/>
  <c r="Q23" i="1"/>
  <c r="R23" i="1"/>
  <c r="S23" i="1"/>
  <c r="T23" i="1"/>
  <c r="Q24" i="1"/>
  <c r="R24" i="1"/>
  <c r="S24" i="1"/>
  <c r="T24" i="1"/>
  <c r="T4" i="1"/>
  <c r="R4" i="1"/>
  <c r="V7" i="1" l="1"/>
  <c r="C27" i="1"/>
  <c r="I11" i="1"/>
  <c r="J11" i="1"/>
  <c r="K11" i="1"/>
  <c r="L11" i="1"/>
  <c r="M11" i="1"/>
  <c r="N11" i="1"/>
  <c r="O11" i="1"/>
  <c r="P11" i="1"/>
  <c r="I12" i="1"/>
  <c r="J12" i="1"/>
  <c r="K12" i="1"/>
  <c r="L12" i="1"/>
  <c r="M12" i="1"/>
  <c r="N12" i="1"/>
  <c r="O12" i="1"/>
  <c r="P12" i="1"/>
  <c r="I13" i="1"/>
  <c r="J13" i="1"/>
  <c r="K13" i="1"/>
  <c r="L13" i="1"/>
  <c r="M13" i="1"/>
  <c r="N13" i="1"/>
  <c r="O13" i="1"/>
  <c r="P13" i="1"/>
  <c r="I14" i="1"/>
  <c r="J14" i="1"/>
  <c r="K14" i="1"/>
  <c r="L14" i="1"/>
  <c r="M14" i="1"/>
  <c r="N14" i="1"/>
  <c r="O14" i="1"/>
  <c r="P14" i="1"/>
  <c r="I15" i="1"/>
  <c r="J15" i="1"/>
  <c r="K15" i="1"/>
  <c r="L15" i="1"/>
  <c r="M15" i="1"/>
  <c r="N15" i="1"/>
  <c r="O15" i="1"/>
  <c r="P15" i="1"/>
  <c r="I16" i="1"/>
  <c r="J16" i="1"/>
  <c r="K16" i="1"/>
  <c r="L16" i="1"/>
  <c r="M16" i="1"/>
  <c r="N16" i="1"/>
  <c r="O16" i="1"/>
  <c r="P16" i="1"/>
  <c r="I17" i="1"/>
  <c r="J17" i="1"/>
  <c r="K17" i="1"/>
  <c r="L17" i="1"/>
  <c r="M17" i="1"/>
  <c r="N17" i="1"/>
  <c r="O17" i="1"/>
  <c r="P17" i="1"/>
  <c r="I18" i="1"/>
  <c r="J18" i="1"/>
  <c r="K18" i="1"/>
  <c r="L18" i="1"/>
  <c r="M18" i="1"/>
  <c r="N18" i="1"/>
  <c r="O18" i="1"/>
  <c r="P18" i="1"/>
  <c r="I19" i="1"/>
  <c r="J19" i="1"/>
  <c r="K19" i="1"/>
  <c r="L19" i="1"/>
  <c r="M19" i="1"/>
  <c r="N19" i="1"/>
  <c r="O19" i="1"/>
  <c r="P19" i="1"/>
  <c r="I20" i="1"/>
  <c r="J20" i="1"/>
  <c r="K20" i="1"/>
  <c r="L20" i="1"/>
  <c r="M20" i="1"/>
  <c r="N20" i="1"/>
  <c r="O20" i="1"/>
  <c r="P20" i="1"/>
  <c r="I21" i="1"/>
  <c r="J21" i="1"/>
  <c r="K21" i="1"/>
  <c r="L21" i="1"/>
  <c r="M21" i="1"/>
  <c r="N21" i="1"/>
  <c r="O21" i="1"/>
  <c r="P21" i="1"/>
  <c r="I22" i="1"/>
  <c r="J22" i="1"/>
  <c r="K22" i="1"/>
  <c r="L22" i="1"/>
  <c r="M22" i="1"/>
  <c r="N22" i="1"/>
  <c r="O22" i="1"/>
  <c r="P22" i="1"/>
  <c r="I23" i="1"/>
  <c r="J23" i="1"/>
  <c r="K23" i="1"/>
  <c r="L23" i="1"/>
  <c r="M23" i="1"/>
  <c r="N23" i="1"/>
  <c r="O23" i="1"/>
  <c r="P23" i="1"/>
  <c r="I24" i="1"/>
  <c r="J24" i="1"/>
  <c r="K24" i="1"/>
  <c r="L24" i="1"/>
  <c r="M24" i="1"/>
  <c r="N24" i="1"/>
  <c r="O24" i="1"/>
  <c r="P24" i="1"/>
  <c r="C9" i="1"/>
  <c r="C10" i="1" s="1"/>
  <c r="L10" i="1" s="1"/>
  <c r="E5" i="1"/>
  <c r="E29" i="1"/>
  <c r="E7" i="1"/>
  <c r="C6" i="1"/>
  <c r="E4" i="1"/>
  <c r="E6" i="1" l="1"/>
  <c r="C40" i="1"/>
  <c r="E40" i="1" s="1"/>
  <c r="O10" i="1"/>
  <c r="K10" i="1"/>
  <c r="N10" i="1"/>
  <c r="J10" i="1"/>
  <c r="M10" i="1"/>
  <c r="I10" i="1"/>
  <c r="P10" i="1"/>
  <c r="K5" i="1"/>
  <c r="O5" i="1"/>
  <c r="K6" i="1"/>
  <c r="O6" i="1"/>
  <c r="K7" i="1"/>
  <c r="O7" i="1"/>
  <c r="K8" i="1"/>
  <c r="O8" i="1"/>
  <c r="K9" i="1"/>
  <c r="O9" i="1"/>
  <c r="N4" i="1"/>
  <c r="J4" i="1"/>
  <c r="J7" i="1"/>
  <c r="J9" i="1"/>
  <c r="L5" i="1"/>
  <c r="P5" i="1"/>
  <c r="L6" i="1"/>
  <c r="P6" i="1"/>
  <c r="L7" i="1"/>
  <c r="P7" i="1"/>
  <c r="L8" i="1"/>
  <c r="P8" i="1"/>
  <c r="L9" i="1"/>
  <c r="P9" i="1"/>
  <c r="M4" i="1"/>
  <c r="I4" i="1"/>
  <c r="M7" i="1"/>
  <c r="I9" i="1"/>
  <c r="P4" i="1"/>
  <c r="J5" i="1"/>
  <c r="J6" i="1"/>
  <c r="N6" i="1"/>
  <c r="N7" i="1"/>
  <c r="N8" i="1"/>
  <c r="O4" i="1"/>
  <c r="I5" i="1"/>
  <c r="M5" i="1"/>
  <c r="I6" i="1"/>
  <c r="M6" i="1"/>
  <c r="I7" i="1"/>
  <c r="I8" i="1"/>
  <c r="M8" i="1"/>
  <c r="M9" i="1"/>
  <c r="L4" i="1"/>
  <c r="N5" i="1"/>
  <c r="J8" i="1"/>
  <c r="N9" i="1"/>
  <c r="K4" i="1"/>
  <c r="C22" i="1"/>
  <c r="E22" i="1" s="1"/>
  <c r="C20" i="1"/>
  <c r="C21" i="1"/>
  <c r="E21" i="1" s="1"/>
  <c r="C16" i="1"/>
  <c r="E16" i="1" s="1"/>
  <c r="C17" i="1"/>
  <c r="C19" i="1"/>
  <c r="E19" i="1" s="1"/>
  <c r="C15" i="1"/>
  <c r="E15" i="1" s="1"/>
  <c r="E10" i="1"/>
  <c r="C14" i="1"/>
  <c r="E14" i="1" s="1"/>
  <c r="E9" i="1"/>
  <c r="C25" i="1" l="1"/>
  <c r="C44" i="1"/>
  <c r="C46" i="1"/>
  <c r="C42" i="1"/>
  <c r="E42" i="1" s="1"/>
  <c r="E17" i="1"/>
  <c r="T2" i="1"/>
  <c r="E20" i="1"/>
  <c r="C24" i="1"/>
  <c r="E24" i="1" s="1"/>
  <c r="C26" i="1"/>
  <c r="AM36" i="1" l="1"/>
  <c r="AO36" i="1"/>
  <c r="AN37" i="1" s="1"/>
  <c r="AN36" i="1"/>
  <c r="AC36" i="1"/>
  <c r="AM41" i="1"/>
  <c r="AM37" i="1"/>
  <c r="AD36" i="1"/>
  <c r="AM38" i="1"/>
  <c r="AE36" i="1"/>
  <c r="AD37" i="1" s="1"/>
  <c r="AM40" i="1"/>
  <c r="AM35" i="1"/>
  <c r="J36" i="1"/>
  <c r="L36" i="1" s="1"/>
  <c r="AM39" i="1"/>
  <c r="AC39" i="1"/>
  <c r="AC35" i="1"/>
  <c r="AC41" i="1"/>
  <c r="AC37" i="1"/>
  <c r="AC38" i="1"/>
  <c r="AC40" i="1"/>
  <c r="E46" i="1"/>
  <c r="S36" i="1"/>
  <c r="U36" i="1"/>
  <c r="W36" i="1" s="1"/>
  <c r="T36" i="1"/>
  <c r="V36" i="1" s="1"/>
  <c r="E44" i="1"/>
  <c r="I36" i="1"/>
  <c r="S39" i="1"/>
  <c r="I39" i="1"/>
  <c r="S35" i="1"/>
  <c r="I40" i="1"/>
  <c r="S40" i="1"/>
  <c r="I37" i="1"/>
  <c r="S38" i="1"/>
  <c r="S41" i="1"/>
  <c r="K36" i="1"/>
  <c r="M36" i="1" s="1"/>
  <c r="I41" i="1"/>
  <c r="I35" i="1"/>
  <c r="I38" i="1"/>
  <c r="S37" i="1"/>
  <c r="C45" i="1"/>
  <c r="C47" i="1"/>
  <c r="S11" i="1"/>
  <c r="Q11" i="1"/>
  <c r="Q6" i="1"/>
  <c r="Q9" i="1"/>
  <c r="S5" i="1"/>
  <c r="S6" i="1"/>
  <c r="S7" i="1"/>
  <c r="S8" i="1"/>
  <c r="S9" i="1"/>
  <c r="S10" i="1"/>
  <c r="Q5" i="1"/>
  <c r="Q7" i="1"/>
  <c r="Q8" i="1"/>
  <c r="Q10" i="1"/>
  <c r="Q4" i="1"/>
  <c r="S4" i="1"/>
  <c r="AT36" i="1" l="1"/>
  <c r="AS37" i="1" s="1"/>
  <c r="AR40" i="1"/>
  <c r="AR36" i="1"/>
  <c r="AR41" i="1"/>
  <c r="AR39" i="1"/>
  <c r="AS36" i="1"/>
  <c r="AR38" i="1"/>
  <c r="AR37" i="1"/>
  <c r="AI36" i="1"/>
  <c r="AH38" i="1"/>
  <c r="AH39" i="1"/>
  <c r="AH41" i="1"/>
  <c r="AH37" i="1"/>
  <c r="AJ36" i="1"/>
  <c r="AJ37" i="1" s="1"/>
  <c r="AJ38" i="1" s="1"/>
  <c r="AJ39" i="1" s="1"/>
  <c r="AJ40" i="1" s="1"/>
  <c r="AJ41" i="1" s="1"/>
  <c r="AH40" i="1"/>
  <c r="AH36" i="1"/>
  <c r="AH35" i="1"/>
  <c r="AE37" i="1"/>
  <c r="AE38" i="1" s="1"/>
  <c r="AE39" i="1" s="1"/>
  <c r="AE40" i="1" s="1"/>
  <c r="AE41" i="1" s="1"/>
  <c r="AO37" i="1"/>
  <c r="AO38" i="1" s="1"/>
  <c r="AO39" i="1" s="1"/>
  <c r="AO40" i="1" s="1"/>
  <c r="AO41" i="1" s="1"/>
  <c r="AG36" i="1"/>
  <c r="AF36" i="1"/>
  <c r="AP36" i="1"/>
  <c r="Z36" i="1"/>
  <c r="Z37" i="1" s="1"/>
  <c r="Y36" i="1"/>
  <c r="AA36" i="1" s="1"/>
  <c r="U37" i="1"/>
  <c r="T38" i="1" s="1"/>
  <c r="T37" i="1"/>
  <c r="V37" i="1" s="1"/>
  <c r="J37" i="1"/>
  <c r="L37" i="1" s="1"/>
  <c r="K37" i="1"/>
  <c r="M37" i="1" s="1"/>
  <c r="E47" i="1"/>
  <c r="X39" i="1"/>
  <c r="X36" i="1"/>
  <c r="X37" i="1"/>
  <c r="X38" i="1"/>
  <c r="X41" i="1"/>
  <c r="X40" i="1"/>
  <c r="E45" i="1"/>
  <c r="N36" i="1"/>
  <c r="N35" i="1"/>
  <c r="X35" i="1"/>
  <c r="P36" i="1"/>
  <c r="R36" i="1" s="1"/>
  <c r="N41" i="1"/>
  <c r="N40" i="1"/>
  <c r="N37" i="1"/>
  <c r="N38" i="1"/>
  <c r="O36" i="1"/>
  <c r="Q36" i="1" s="1"/>
  <c r="N39" i="1"/>
  <c r="AT37" i="1" l="1"/>
  <c r="AT38" i="1" s="1"/>
  <c r="AT39" i="1" s="1"/>
  <c r="AT40" i="1" s="1"/>
  <c r="AT41" i="1" s="1"/>
  <c r="AI37" i="1"/>
  <c r="Y38" i="1"/>
  <c r="Z38" i="1"/>
  <c r="AR35" i="1"/>
  <c r="AL36" i="1"/>
  <c r="AK36" i="1"/>
  <c r="AV36" i="1"/>
  <c r="AU36" i="1"/>
  <c r="Y37" i="1"/>
  <c r="AA37" i="1" s="1"/>
  <c r="AP37" i="1"/>
  <c r="AQ36" i="1"/>
  <c r="AF37" i="1"/>
  <c r="AN38" i="1"/>
  <c r="AD38" i="1"/>
  <c r="U38" i="1"/>
  <c r="U39" i="1" s="1"/>
  <c r="V38" i="1"/>
  <c r="W37" i="1"/>
  <c r="P37" i="1"/>
  <c r="O38" i="1" s="1"/>
  <c r="J38" i="1"/>
  <c r="L38" i="1" s="1"/>
  <c r="K38" i="1"/>
  <c r="O37" i="1"/>
  <c r="Q37" i="1" s="1"/>
  <c r="AB36" i="1"/>
  <c r="AS38" i="1" l="1"/>
  <c r="AI39" i="1"/>
  <c r="AI38" i="1"/>
  <c r="AQ37" i="1"/>
  <c r="AI40" i="1"/>
  <c r="AF38" i="1"/>
  <c r="AD39" i="1"/>
  <c r="AP38" i="1"/>
  <c r="AK37" i="1"/>
  <c r="AV37" i="1"/>
  <c r="AU37" i="1"/>
  <c r="Z39" i="1"/>
  <c r="Y39" i="1"/>
  <c r="AG37" i="1"/>
  <c r="AL37" i="1"/>
  <c r="AL38" i="1" s="1"/>
  <c r="T39" i="1"/>
  <c r="V39" i="1" s="1"/>
  <c r="W38" i="1"/>
  <c r="W39" i="1" s="1"/>
  <c r="Q38" i="1"/>
  <c r="AB37" i="1"/>
  <c r="R37" i="1"/>
  <c r="P38" i="1"/>
  <c r="J39" i="1"/>
  <c r="L39" i="1" s="1"/>
  <c r="K39" i="1"/>
  <c r="M38" i="1"/>
  <c r="AA38" i="1"/>
  <c r="T40" i="1"/>
  <c r="U40" i="1"/>
  <c r="AU38" i="1" l="1"/>
  <c r="AS39" i="1"/>
  <c r="AU39" i="1" s="1"/>
  <c r="AV38" i="1"/>
  <c r="AQ38" i="1"/>
  <c r="AN39" i="1"/>
  <c r="AP39" i="1" s="1"/>
  <c r="AG38" i="1"/>
  <c r="AK38" i="1"/>
  <c r="AK39" i="1" s="1"/>
  <c r="AL39" i="1"/>
  <c r="AD40" i="1"/>
  <c r="AF39" i="1"/>
  <c r="AI41" i="1"/>
  <c r="AN40" i="1"/>
  <c r="Y40" i="1"/>
  <c r="Z40" i="1"/>
  <c r="AB38" i="1"/>
  <c r="W40" i="1"/>
  <c r="V40" i="1"/>
  <c r="R38" i="1"/>
  <c r="M39" i="1"/>
  <c r="P39" i="1"/>
  <c r="O39" i="1"/>
  <c r="Q39" i="1" s="1"/>
  <c r="J40" i="1"/>
  <c r="L40" i="1" s="1"/>
  <c r="K40" i="1"/>
  <c r="M40" i="1" s="1"/>
  <c r="AA39" i="1"/>
  <c r="U41" i="1"/>
  <c r="T41" i="1"/>
  <c r="AV39" i="1" l="1"/>
  <c r="AS40" i="1"/>
  <c r="AU40" i="1" s="1"/>
  <c r="AG39" i="1"/>
  <c r="AK40" i="1"/>
  <c r="AL40" i="1"/>
  <c r="Y41" i="1"/>
  <c r="Z41" i="1"/>
  <c r="AP40" i="1"/>
  <c r="AN41" i="1"/>
  <c r="AQ39" i="1"/>
  <c r="AF40" i="1"/>
  <c r="V41" i="1"/>
  <c r="W41" i="1"/>
  <c r="R39" i="1"/>
  <c r="P40" i="1"/>
  <c r="O40" i="1"/>
  <c r="Q40" i="1" s="1"/>
  <c r="J41" i="1"/>
  <c r="L41" i="1" s="1"/>
  <c r="K41" i="1"/>
  <c r="M41" i="1" s="1"/>
  <c r="AA40" i="1"/>
  <c r="AB39" i="1"/>
  <c r="AS41" i="1" l="1"/>
  <c r="AU41" i="1" s="1"/>
  <c r="AV40" i="1"/>
  <c r="AL41" i="1"/>
  <c r="AK41" i="1"/>
  <c r="AG40" i="1"/>
  <c r="AG41" i="1" s="1"/>
  <c r="AD41" i="1"/>
  <c r="AF41" i="1" s="1"/>
  <c r="AQ40" i="1"/>
  <c r="AP41" i="1"/>
  <c r="R40" i="1"/>
  <c r="P41" i="1"/>
  <c r="O41" i="1"/>
  <c r="Q41" i="1" s="1"/>
  <c r="AB40" i="1"/>
  <c r="AA41" i="1"/>
  <c r="AV41" i="1" l="1"/>
  <c r="AQ41" i="1"/>
  <c r="R41" i="1"/>
  <c r="AB41" i="1"/>
</calcChain>
</file>

<file path=xl/sharedStrings.xml><?xml version="1.0" encoding="utf-8"?>
<sst xmlns="http://schemas.openxmlformats.org/spreadsheetml/2006/main" count="248" uniqueCount="117">
  <si>
    <t>Segment Width</t>
  </si>
  <si>
    <t>in</t>
  </si>
  <si>
    <t>mm</t>
  </si>
  <si>
    <t>Pin Diameter</t>
  </si>
  <si>
    <t>Pin Spacing</t>
  </si>
  <si>
    <t>l</t>
  </si>
  <si>
    <t>w</t>
  </si>
  <si>
    <t>pd</t>
  </si>
  <si>
    <t>Number of Segment Pairs</t>
  </si>
  <si>
    <t>N</t>
  </si>
  <si>
    <t>Min. Segment Angle</t>
  </si>
  <si>
    <t>Θ</t>
  </si>
  <si>
    <t>degrees</t>
  </si>
  <si>
    <t>radians</t>
  </si>
  <si>
    <t>Half of Segment Angle</t>
  </si>
  <si>
    <t>Retracted Width</t>
  </si>
  <si>
    <t>w_r</t>
  </si>
  <si>
    <t>2Θ</t>
  </si>
  <si>
    <t>Extended Width</t>
  </si>
  <si>
    <t>Full Segment Length</t>
  </si>
  <si>
    <t>ps</t>
  </si>
  <si>
    <t>sl</t>
  </si>
  <si>
    <t>Retracted</t>
  </si>
  <si>
    <t>Extended</t>
  </si>
  <si>
    <t>x1</t>
  </si>
  <si>
    <t>x2</t>
  </si>
  <si>
    <t>Length Amplification</t>
  </si>
  <si>
    <t>la</t>
  </si>
  <si>
    <t>Extended Length</t>
  </si>
  <si>
    <t>Retracted Length</t>
  </si>
  <si>
    <t>l_r</t>
  </si>
  <si>
    <t>l_e</t>
  </si>
  <si>
    <t>w_e</t>
  </si>
  <si>
    <t>times</t>
  </si>
  <si>
    <t>Retracted (pin-to-pin) width</t>
  </si>
  <si>
    <t>Extended (pin-to-pin) width</t>
  </si>
  <si>
    <t>Extended (pin-to-pin) length</t>
  </si>
  <si>
    <t>Retracted (pin-to-pin) length</t>
  </si>
  <si>
    <t>y1</t>
  </si>
  <si>
    <t>y2</t>
  </si>
  <si>
    <t>Segment</t>
  </si>
  <si>
    <t>nj</t>
  </si>
  <si>
    <t>joints</t>
  </si>
  <si>
    <t>Custom Length</t>
  </si>
  <si>
    <t>inches</t>
  </si>
  <si>
    <t>Top Segment Thickness</t>
  </si>
  <si>
    <t>Middle Segment Thickness</t>
  </si>
  <si>
    <t>t1</t>
  </si>
  <si>
    <t>t2</t>
  </si>
  <si>
    <t>Bottom Segment Thickness</t>
  </si>
  <si>
    <t>t3</t>
  </si>
  <si>
    <t>Pin Diameter Mismatch</t>
  </si>
  <si>
    <t>Actual Pin Hole Size</t>
  </si>
  <si>
    <t>apd</t>
  </si>
  <si>
    <t>pdm</t>
  </si>
  <si>
    <t>Abbe Angle Errror (3 Segments)</t>
  </si>
  <si>
    <t>Abbe Angle Errror (2 Segments)</t>
  </si>
  <si>
    <t>aa2</t>
  </si>
  <si>
    <t>aa3</t>
  </si>
  <si>
    <t>Segment Spacing Gap</t>
  </si>
  <si>
    <t>ssg</t>
  </si>
  <si>
    <t>Segment Overlap Length (from pin center)</t>
  </si>
  <si>
    <t>sol</t>
  </si>
  <si>
    <t>Extra Segment Overlap</t>
  </si>
  <si>
    <t>esl</t>
  </si>
  <si>
    <t>Total Overlap</t>
  </si>
  <si>
    <t>to</t>
  </si>
  <si>
    <t>3seg possible tilt from gap (no extra length)</t>
  </si>
  <si>
    <t>3seg possible tilt from gap (with extra length)</t>
  </si>
  <si>
    <t>2seg possible tilt from gap (no extra length)</t>
  </si>
  <si>
    <t>2seg possible tilt from gap (with extra length)</t>
  </si>
  <si>
    <t>2 segment (w/o extra)</t>
  </si>
  <si>
    <t>Angle (radians)</t>
  </si>
  <si>
    <r>
      <t>∆</t>
    </r>
    <r>
      <rPr>
        <b/>
        <sz val="9.35"/>
        <color theme="1"/>
        <rFont val="Calibri"/>
        <family val="2"/>
      </rPr>
      <t>x</t>
    </r>
  </si>
  <si>
    <t>∆z</t>
  </si>
  <si>
    <t>x</t>
  </si>
  <si>
    <t>z</t>
  </si>
  <si>
    <t>2 segment (w/ extra)</t>
  </si>
  <si>
    <t>3 segment (w/o extra)</t>
  </si>
  <si>
    <t>3 segment (w/ extra)</t>
  </si>
  <si>
    <t>PUPS 6</t>
  </si>
  <si>
    <t>Scissor-Based Telescoping Wafer Transfer Mechanism Dimensioning and Error Budgeting</t>
  </si>
  <si>
    <t>Bending Errors (negative z-axis)</t>
  </si>
  <si>
    <t>Moment of Inertia</t>
  </si>
  <si>
    <t>in^4</t>
  </si>
  <si>
    <t>mm^4</t>
  </si>
  <si>
    <t>Length</t>
  </si>
  <si>
    <t>Force Applied</t>
  </si>
  <si>
    <t>Elastic Modulus (6061 Aluminum)</t>
  </si>
  <si>
    <t>N/mm^2</t>
  </si>
  <si>
    <t>Mass density (6061 Aluminum)</t>
  </si>
  <si>
    <t>kg/mm^3</t>
  </si>
  <si>
    <t>Stiffness (k) (6061 Aluminum)</t>
  </si>
  <si>
    <t>N/mm</t>
  </si>
  <si>
    <t>N/um</t>
  </si>
  <si>
    <t>Deflection (δ) (6061 Aluminum)</t>
  </si>
  <si>
    <t>um</t>
  </si>
  <si>
    <t>So, compared to the sag errors, the bending errors are insignificant</t>
  </si>
  <si>
    <t>Mass (6061 Aluminum)</t>
  </si>
  <si>
    <t>lbs</t>
  </si>
  <si>
    <t>kg</t>
  </si>
  <si>
    <t>Resonant Frequency (6061 Aluminum)</t>
  </si>
  <si>
    <t>Hz</t>
  </si>
  <si>
    <t>Elastic Modulus (304 Stainless Steel)</t>
  </si>
  <si>
    <t>Mass density (304 Stainless Steel)</t>
  </si>
  <si>
    <t>Stiffness (k) (304 Stainless Steel)</t>
  </si>
  <si>
    <t>Deflection (δ) (304 Stainless Steel)</t>
  </si>
  <si>
    <t>Mass (304 Stainless Steel)</t>
  </si>
  <si>
    <t>Resonant Frequency (304 Stainless Steel)</t>
  </si>
  <si>
    <t>Width</t>
  </si>
  <si>
    <t>Thickness</t>
  </si>
  <si>
    <t>lbf</t>
  </si>
  <si>
    <t>distance between edge pins</t>
  </si>
  <si>
    <t>Number of Revolute Joints</t>
  </si>
  <si>
    <t>(current)</t>
  </si>
  <si>
    <t>Full Stroke Length</t>
  </si>
  <si>
    <t>External Stroke Length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</si>
</sst>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9.35"/>
      <color theme="1"/>
      <name val="Calibri"/>
      <family val="2"/>
    </font>
    <font>
      <b/>
      <u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vertical="center"/>
    </xf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5" xfId="0" applyBorder="1"/>
    <xf numFmtId="0" fontId="2" fillId="0" borderId="3" xfId="0" applyFont="1" applyBorder="1"/>
    <xf numFmtId="0" fontId="2" fillId="0" borderId="0" xfId="0" applyFont="1"/>
    <xf numFmtId="0" fontId="2" fillId="2" borderId="0" xfId="0" applyFont="1" applyFill="1"/>
    <xf numFmtId="0" fontId="2" fillId="0" borderId="4" xfId="0" applyFont="1" applyBorder="1"/>
    <xf numFmtId="0" fontId="1" fillId="0" borderId="4" xfId="0" applyFont="1" applyBorder="1"/>
    <xf numFmtId="0" fontId="1" fillId="0" borderId="0" xfId="0" applyFont="1" applyBorder="1"/>
    <xf numFmtId="0" fontId="0" fillId="0" borderId="4" xfId="0" applyBorder="1"/>
    <xf numFmtId="0" fontId="5" fillId="0" borderId="0" xfId="0" applyFont="1" applyAlignment="1">
      <alignment horizontal="center"/>
    </xf>
    <xf numFmtId="0" fontId="5" fillId="0" borderId="0" xfId="0" applyFont="1" applyAlignment="1">
      <alignment vertical="center"/>
    </xf>
    <xf numFmtId="0" fontId="2" fillId="0" borderId="6" xfId="0" applyFont="1" applyBorder="1"/>
    <xf numFmtId="0" fontId="6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/>
    <xf numFmtId="0" fontId="0" fillId="0" borderId="0" xfId="0" applyFont="1" applyFill="1" applyAlignment="1">
      <alignment vertical="center"/>
    </xf>
    <xf numFmtId="0" fontId="0" fillId="0" borderId="0" xfId="0" applyFont="1" applyFill="1"/>
    <xf numFmtId="0" fontId="2" fillId="0" borderId="1" xfId="0" applyFont="1" applyBorder="1"/>
    <xf numFmtId="0" fontId="0" fillId="0" borderId="1" xfId="0" applyFont="1" applyBorder="1" applyAlignment="1">
      <alignment vertical="center"/>
    </xf>
    <xf numFmtId="0" fontId="0" fillId="0" borderId="1" xfId="0" applyFont="1" applyFill="1" applyBorder="1"/>
    <xf numFmtId="0" fontId="0" fillId="0" borderId="1" xfId="0" applyFont="1" applyFill="1" applyBorder="1" applyAlignment="1">
      <alignment vertical="center"/>
    </xf>
    <xf numFmtId="0" fontId="0" fillId="0" borderId="0" xfId="0" applyFont="1" applyAlignment="1">
      <alignment vertical="center"/>
    </xf>
    <xf numFmtId="0" fontId="4" fillId="0" borderId="0" xfId="0" applyFont="1" applyFill="1"/>
    <xf numFmtId="0" fontId="4" fillId="0" borderId="0" xfId="0" applyFont="1" applyFill="1" applyAlignment="1">
      <alignment vertical="center"/>
    </xf>
    <xf numFmtId="0" fontId="1" fillId="0" borderId="1" xfId="0" applyFont="1" applyFill="1" applyBorder="1"/>
    <xf numFmtId="0" fontId="1" fillId="0" borderId="1" xfId="0" applyFont="1" applyFill="1" applyBorder="1" applyAlignment="1">
      <alignment vertical="center"/>
    </xf>
    <xf numFmtId="0" fontId="2" fillId="0" borderId="4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0" xfId="0" applyFont="1" applyFill="1" applyBorder="1"/>
    <xf numFmtId="0" fontId="0" fillId="0" borderId="0" xfId="0" applyBorder="1"/>
  </cellXfs>
  <cellStyles count="1">
    <cellStyle name="Normal" xfId="0" builtinId="0"/>
  </cellStyles>
  <dxfs count="1"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Scissor Actuator Visualization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Retracted</c:v>
          </c:tx>
          <c:spPr>
            <a:ln>
              <a:solidFill>
                <a:srgbClr val="FF0000"/>
              </a:solidFill>
            </a:ln>
          </c:spPr>
          <c:marker>
            <c:symbol val="circle"/>
            <c:size val="5"/>
            <c:spPr>
              <a:solidFill>
                <a:srgbClr val="C00000"/>
              </a:solidFill>
              <a:ln>
                <a:noFill/>
              </a:ln>
            </c:spPr>
          </c:marker>
          <c:xVal>
            <c:numRef>
              <c:f>[0]!range_rx1</c:f>
              <c:numCache>
                <c:formatCode>General</c:formatCode>
                <c:ptCount val="7"/>
                <c:pt idx="0">
                  <c:v>0</c:v>
                </c:pt>
                <c:pt idx="1">
                  <c:v>0.38047945213296619</c:v>
                </c:pt>
                <c:pt idx="2">
                  <c:v>0.76095890426593238</c:v>
                </c:pt>
                <c:pt idx="3">
                  <c:v>1.1414383563988986</c:v>
                </c:pt>
                <c:pt idx="4">
                  <c:v>1.5219178085318648</c:v>
                </c:pt>
                <c:pt idx="5">
                  <c:v>1.9023972606648309</c:v>
                </c:pt>
                <c:pt idx="6">
                  <c:v>2.2828767127977971</c:v>
                </c:pt>
              </c:numCache>
            </c:numRef>
          </c:xVal>
          <c:yVal>
            <c:numRef>
              <c:f>[0]!range_rz1</c:f>
              <c:numCache>
                <c:formatCode>General</c:formatCode>
                <c:ptCount val="7"/>
                <c:pt idx="0">
                  <c:v>1.1087983796101748</c:v>
                </c:pt>
                <c:pt idx="1">
                  <c:v>-1.1087983796101748</c:v>
                </c:pt>
                <c:pt idx="2">
                  <c:v>1.1087983796101748</c:v>
                </c:pt>
                <c:pt idx="3">
                  <c:v>-1.1087983796101748</c:v>
                </c:pt>
                <c:pt idx="4">
                  <c:v>1.1087983796101748</c:v>
                </c:pt>
                <c:pt idx="5">
                  <c:v>-1.1087983796101748</c:v>
                </c:pt>
                <c:pt idx="6">
                  <c:v>1.1087983796101748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97F7-4504-8CB1-E34D3C248428}"/>
            </c:ext>
          </c:extLst>
        </c:ser>
        <c:ser>
          <c:idx val="1"/>
          <c:order val="1"/>
          <c:tx>
            <c:v>Retracted</c:v>
          </c:tx>
          <c:spPr>
            <a:ln>
              <a:solidFill>
                <a:srgbClr val="FF0000"/>
              </a:solidFill>
            </a:ln>
          </c:spPr>
          <c:marker>
            <c:symbol val="circle"/>
            <c:size val="5"/>
            <c:spPr>
              <a:solidFill>
                <a:srgbClr val="C00000"/>
              </a:solidFill>
              <a:ln>
                <a:noFill/>
              </a:ln>
            </c:spPr>
          </c:marker>
          <c:xVal>
            <c:numRef>
              <c:f>[0]!range_rx2</c:f>
              <c:numCache>
                <c:formatCode>General</c:formatCode>
                <c:ptCount val="7"/>
                <c:pt idx="0">
                  <c:v>0</c:v>
                </c:pt>
                <c:pt idx="1">
                  <c:v>0.38047945213296619</c:v>
                </c:pt>
                <c:pt idx="2">
                  <c:v>0.76095890426593238</c:v>
                </c:pt>
                <c:pt idx="3">
                  <c:v>1.1414383563988986</c:v>
                </c:pt>
                <c:pt idx="4">
                  <c:v>1.5219178085318648</c:v>
                </c:pt>
                <c:pt idx="5">
                  <c:v>1.9023972606648309</c:v>
                </c:pt>
                <c:pt idx="6">
                  <c:v>2.2828767127977971</c:v>
                </c:pt>
              </c:numCache>
            </c:numRef>
          </c:xVal>
          <c:yVal>
            <c:numRef>
              <c:f>[0]!range_rz2</c:f>
              <c:numCache>
                <c:formatCode>General</c:formatCode>
                <c:ptCount val="7"/>
                <c:pt idx="0">
                  <c:v>-1.1087983796101748</c:v>
                </c:pt>
                <c:pt idx="1">
                  <c:v>1.1087983796101748</c:v>
                </c:pt>
                <c:pt idx="2">
                  <c:v>-1.1087983796101748</c:v>
                </c:pt>
                <c:pt idx="3">
                  <c:v>1.1087983796101748</c:v>
                </c:pt>
                <c:pt idx="4">
                  <c:v>-1.1087983796101748</c:v>
                </c:pt>
                <c:pt idx="5">
                  <c:v>1.1087983796101748</c:v>
                </c:pt>
                <c:pt idx="6">
                  <c:v>-1.1087983796101748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7F7-4504-8CB1-E34D3C248428}"/>
            </c:ext>
          </c:extLst>
        </c:ser>
        <c:ser>
          <c:idx val="2"/>
          <c:order val="2"/>
          <c:tx>
            <c:v>Extended</c:v>
          </c:tx>
          <c:spPr>
            <a:ln>
              <a:solidFill>
                <a:srgbClr val="00B0F0"/>
              </a:solidFill>
            </a:ln>
          </c:spPr>
          <c:marker>
            <c:symbol val="circle"/>
            <c:size val="5"/>
            <c:spPr>
              <a:solidFill>
                <a:srgbClr val="0070C0"/>
              </a:solidFill>
              <a:ln>
                <a:noFill/>
              </a:ln>
            </c:spPr>
          </c:marker>
          <c:xVal>
            <c:numRef>
              <c:f>[0]!range_ex1</c:f>
              <c:numCache>
                <c:formatCode>General</c:formatCode>
                <c:ptCount val="7"/>
                <c:pt idx="0">
                  <c:v>0</c:v>
                </c:pt>
                <c:pt idx="1">
                  <c:v>2.2175967592203496</c:v>
                </c:pt>
                <c:pt idx="2">
                  <c:v>4.4351935184406992</c:v>
                </c:pt>
                <c:pt idx="3">
                  <c:v>6.6527902776610492</c:v>
                </c:pt>
                <c:pt idx="4">
                  <c:v>8.8703870368813984</c:v>
                </c:pt>
                <c:pt idx="5">
                  <c:v>11.087983796101748</c:v>
                </c:pt>
                <c:pt idx="6">
                  <c:v>13.305580555322098</c:v>
                </c:pt>
              </c:numCache>
            </c:numRef>
          </c:xVal>
          <c:yVal>
            <c:numRef>
              <c:f>[0]!range_ez1</c:f>
              <c:numCache>
                <c:formatCode>General</c:formatCode>
                <c:ptCount val="7"/>
                <c:pt idx="0">
                  <c:v>0.19023972606648309</c:v>
                </c:pt>
                <c:pt idx="1">
                  <c:v>-0.19023972606648309</c:v>
                </c:pt>
                <c:pt idx="2">
                  <c:v>0.19023972606648309</c:v>
                </c:pt>
                <c:pt idx="3">
                  <c:v>-0.19023972606648309</c:v>
                </c:pt>
                <c:pt idx="4">
                  <c:v>0.19023972606648309</c:v>
                </c:pt>
                <c:pt idx="5">
                  <c:v>-0.19023972606648309</c:v>
                </c:pt>
                <c:pt idx="6">
                  <c:v>0.19023972606648309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97F7-4504-8CB1-E34D3C248428}"/>
            </c:ext>
          </c:extLst>
        </c:ser>
        <c:ser>
          <c:idx val="3"/>
          <c:order val="3"/>
          <c:tx>
            <c:v>Extended</c:v>
          </c:tx>
          <c:spPr>
            <a:ln>
              <a:solidFill>
                <a:srgbClr val="00B0F0"/>
              </a:solidFill>
            </a:ln>
          </c:spPr>
          <c:marker>
            <c:symbol val="circle"/>
            <c:size val="5"/>
            <c:spPr>
              <a:solidFill>
                <a:srgbClr val="0070C0"/>
              </a:solidFill>
              <a:ln>
                <a:noFill/>
              </a:ln>
            </c:spPr>
          </c:marker>
          <c:xVal>
            <c:numRef>
              <c:f>[0]!range_ex2</c:f>
              <c:numCache>
                <c:formatCode>General</c:formatCode>
                <c:ptCount val="7"/>
                <c:pt idx="0">
                  <c:v>0</c:v>
                </c:pt>
                <c:pt idx="1">
                  <c:v>2.2175967592203496</c:v>
                </c:pt>
                <c:pt idx="2">
                  <c:v>4.4351935184406992</c:v>
                </c:pt>
                <c:pt idx="3">
                  <c:v>6.6527902776610492</c:v>
                </c:pt>
                <c:pt idx="4">
                  <c:v>8.8703870368813984</c:v>
                </c:pt>
                <c:pt idx="5">
                  <c:v>11.087983796101748</c:v>
                </c:pt>
                <c:pt idx="6">
                  <c:v>13.305580555322098</c:v>
                </c:pt>
              </c:numCache>
            </c:numRef>
          </c:xVal>
          <c:yVal>
            <c:numRef>
              <c:f>[0]!range_ez2</c:f>
              <c:numCache>
                <c:formatCode>General</c:formatCode>
                <c:ptCount val="7"/>
                <c:pt idx="0">
                  <c:v>-0.19023972606648309</c:v>
                </c:pt>
                <c:pt idx="1">
                  <c:v>0.19023972606648309</c:v>
                </c:pt>
                <c:pt idx="2">
                  <c:v>-0.19023972606648309</c:v>
                </c:pt>
                <c:pt idx="3">
                  <c:v>0.19023972606648309</c:v>
                </c:pt>
                <c:pt idx="4">
                  <c:v>-0.19023972606648309</c:v>
                </c:pt>
                <c:pt idx="5">
                  <c:v>0.19023972606648309</c:v>
                </c:pt>
                <c:pt idx="6">
                  <c:v>-0.19023972606648309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97F7-4504-8CB1-E34D3C248428}"/>
            </c:ext>
          </c:extLst>
        </c:ser>
        <c:ser>
          <c:idx val="4"/>
          <c:order val="4"/>
          <c:tx>
            <c:v>Custom</c:v>
          </c:tx>
          <c:spPr>
            <a:ln>
              <a:solidFill>
                <a:srgbClr val="92D050"/>
              </a:solidFill>
            </a:ln>
          </c:spPr>
          <c:marker>
            <c:symbol val="circle"/>
            <c:size val="5"/>
            <c:spPr>
              <a:solidFill>
                <a:srgbClr val="00B050"/>
              </a:solidFill>
              <a:ln>
                <a:noFill/>
              </a:ln>
            </c:spPr>
          </c:marker>
          <c:xVal>
            <c:numRef>
              <c:f>[0]!range_cx1</c:f>
              <c:numCache>
                <c:formatCode>General</c:formatCode>
                <c:ptCount val="7"/>
                <c:pt idx="0">
                  <c:v>0</c:v>
                </c:pt>
                <c:pt idx="1">
                  <c:v>2.1096461666666664</c:v>
                </c:pt>
                <c:pt idx="2">
                  <c:v>4.2192923333333328</c:v>
                </c:pt>
                <c:pt idx="3">
                  <c:v>6.3289384999999996</c:v>
                </c:pt>
                <c:pt idx="4">
                  <c:v>8.4385846666666655</c:v>
                </c:pt>
                <c:pt idx="5">
                  <c:v>10.548230833333331</c:v>
                </c:pt>
                <c:pt idx="6">
                  <c:v>12.657876999999999</c:v>
                </c:pt>
              </c:numCache>
            </c:numRef>
          </c:xVal>
          <c:yVal>
            <c:numRef>
              <c:f>[0]!range_cy1</c:f>
              <c:numCache>
                <c:formatCode>General</c:formatCode>
                <c:ptCount val="7"/>
                <c:pt idx="0">
                  <c:v>0.39111796541089755</c:v>
                </c:pt>
                <c:pt idx="1">
                  <c:v>-0.39111796541089755</c:v>
                </c:pt>
                <c:pt idx="2">
                  <c:v>0.39111796541089755</c:v>
                </c:pt>
                <c:pt idx="3">
                  <c:v>-0.39111796541089755</c:v>
                </c:pt>
                <c:pt idx="4">
                  <c:v>0.39111796541089755</c:v>
                </c:pt>
                <c:pt idx="5">
                  <c:v>-0.39111796541089755</c:v>
                </c:pt>
                <c:pt idx="6">
                  <c:v>0.39111796541089755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97F7-4504-8CB1-E34D3C248428}"/>
            </c:ext>
          </c:extLst>
        </c:ser>
        <c:ser>
          <c:idx val="5"/>
          <c:order val="5"/>
          <c:tx>
            <c:v>Custom</c:v>
          </c:tx>
          <c:spPr>
            <a:ln>
              <a:solidFill>
                <a:srgbClr val="92D050"/>
              </a:solidFill>
            </a:ln>
          </c:spPr>
          <c:marker>
            <c:symbol val="circle"/>
            <c:size val="5"/>
            <c:spPr>
              <a:solidFill>
                <a:srgbClr val="00B050"/>
              </a:solidFill>
              <a:ln>
                <a:noFill/>
              </a:ln>
            </c:spPr>
          </c:marker>
          <c:xVal>
            <c:numRef>
              <c:f>[0]!range_cx2</c:f>
              <c:numCache>
                <c:formatCode>General</c:formatCode>
                <c:ptCount val="7"/>
                <c:pt idx="0">
                  <c:v>0</c:v>
                </c:pt>
                <c:pt idx="1">
                  <c:v>2.1096461666666664</c:v>
                </c:pt>
                <c:pt idx="2">
                  <c:v>4.2192923333333328</c:v>
                </c:pt>
                <c:pt idx="3">
                  <c:v>6.3289384999999996</c:v>
                </c:pt>
                <c:pt idx="4">
                  <c:v>8.4385846666666655</c:v>
                </c:pt>
                <c:pt idx="5">
                  <c:v>10.548230833333331</c:v>
                </c:pt>
                <c:pt idx="6">
                  <c:v>12.657876999999999</c:v>
                </c:pt>
              </c:numCache>
            </c:numRef>
          </c:xVal>
          <c:yVal>
            <c:numRef>
              <c:f>[0]!range_cy2</c:f>
              <c:numCache>
                <c:formatCode>General</c:formatCode>
                <c:ptCount val="7"/>
                <c:pt idx="0">
                  <c:v>-0.39111796541089755</c:v>
                </c:pt>
                <c:pt idx="1">
                  <c:v>0.39111796541089755</c:v>
                </c:pt>
                <c:pt idx="2">
                  <c:v>-0.39111796541089755</c:v>
                </c:pt>
                <c:pt idx="3">
                  <c:v>0.39111796541089755</c:v>
                </c:pt>
                <c:pt idx="4">
                  <c:v>-0.39111796541089755</c:v>
                </c:pt>
                <c:pt idx="5">
                  <c:v>0.39111796541089755</c:v>
                </c:pt>
                <c:pt idx="6">
                  <c:v>-0.39111796541089755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97F7-4504-8CB1-E34D3C2484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2396160"/>
        <c:axId val="92398336"/>
      </c:scatterChart>
      <c:valAx>
        <c:axId val="92396160"/>
        <c:scaling>
          <c:orientation val="minMax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X-axis Extension (inches)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92398336"/>
        <c:crossesAt val="-9999999"/>
        <c:crossBetween val="midCat"/>
      </c:valAx>
      <c:valAx>
        <c:axId val="92398336"/>
        <c:scaling>
          <c:orientation val="minMax"/>
        </c:scaling>
        <c:delete val="0"/>
        <c:axPos val="l"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Y-axis Width (inches)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92396160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74102454704175191"/>
          <c:y val="0.17053923014666394"/>
          <c:w val="0.22295188872316071"/>
          <c:h val="0.17204232756208068"/>
        </c:manualLayout>
      </c:layout>
      <c:overlay val="1"/>
      <c:spPr>
        <a:solidFill>
          <a:schemeClr val="bg1"/>
        </a:solidFill>
        <a:ln>
          <a:solidFill>
            <a:schemeClr val="bg1">
              <a:lumMod val="65000"/>
            </a:schemeClr>
          </a:solidFill>
        </a:ln>
      </c:spPr>
    </c:legend>
    <c:plotVisOnly val="1"/>
    <c:dispBlanksAs val="gap"/>
    <c:showDLblsOverMax val="0"/>
  </c:chart>
  <c:txPr>
    <a:bodyPr/>
    <a:lstStyle/>
    <a:p>
      <a:pPr>
        <a:defRPr sz="11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Sheet1!$AC$33</c:f>
              <c:strCache>
                <c:ptCount val="1"/>
                <c:pt idx="0">
                  <c:v>2 segment (w/o extra)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Sheet1!$AF$35:$AF$41</c:f>
              <c:numCache>
                <c:formatCode>General</c:formatCode>
                <c:ptCount val="7"/>
                <c:pt idx="0">
                  <c:v>0</c:v>
                </c:pt>
                <c:pt idx="1">
                  <c:v>56.326949673251214</c:v>
                </c:pt>
                <c:pt idx="2">
                  <c:v>112.65388332461225</c:v>
                </c:pt>
                <c:pt idx="3">
                  <c:v>168.98080095408537</c:v>
                </c:pt>
                <c:pt idx="4">
                  <c:v>225.30770256167287</c:v>
                </c:pt>
                <c:pt idx="5">
                  <c:v>281.63458814737703</c:v>
                </c:pt>
                <c:pt idx="6">
                  <c:v>337.96145771120013</c:v>
                </c:pt>
              </c:numCache>
            </c:numRef>
          </c:xVal>
          <c:yVal>
            <c:numRef>
              <c:f>Sheet1!$AG$35:$AG$41</c:f>
              <c:numCache>
                <c:formatCode>General</c:formatCode>
                <c:ptCount val="7"/>
                <c:pt idx="0">
                  <c:v>0</c:v>
                </c:pt>
                <c:pt idx="1">
                  <c:v>-3.0041044098238337E-2</c:v>
                </c:pt>
                <c:pt idx="2">
                  <c:v>-9.0123128022210661E-2</c:v>
                </c:pt>
                <c:pt idx="3">
                  <c:v>-0.1802462474994132</c:v>
                </c:pt>
                <c:pt idx="4">
                  <c:v>-0.30041039825734284</c:v>
                </c:pt>
                <c:pt idx="5">
                  <c:v>-0.45061557602349706</c:v>
                </c:pt>
                <c:pt idx="6">
                  <c:v>-0.6308617765253739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416C-4B88-9040-C82093AF6507}"/>
            </c:ext>
          </c:extLst>
        </c:ser>
        <c:ser>
          <c:idx val="1"/>
          <c:order val="1"/>
          <c:tx>
            <c:strRef>
              <c:f>Sheet1!$AH$33</c:f>
              <c:strCache>
                <c:ptCount val="1"/>
                <c:pt idx="0">
                  <c:v>2 segment (w/ extra)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Sheet1!$AK$35:$AK$41</c:f>
              <c:numCache>
                <c:formatCode>General</c:formatCode>
                <c:ptCount val="7"/>
                <c:pt idx="0">
                  <c:v>0</c:v>
                </c:pt>
                <c:pt idx="1">
                  <c:v>56.326956212798777</c:v>
                </c:pt>
                <c:pt idx="2">
                  <c:v>112.6539094828014</c:v>
                </c:pt>
                <c:pt idx="3">
                  <c:v>168.98085981000793</c:v>
                </c:pt>
                <c:pt idx="4">
                  <c:v>225.30780719441847</c:v>
                </c:pt>
                <c:pt idx="5">
                  <c:v>281.63475163603312</c:v>
                </c:pt>
                <c:pt idx="6">
                  <c:v>337.96169313485188</c:v>
                </c:pt>
              </c:numCache>
            </c:numRef>
          </c:xVal>
          <c:yVal>
            <c:numRef>
              <c:f>Sheet1!$AL$35:$AL$41</c:f>
              <c:numCache>
                <c:formatCode>General</c:formatCode>
                <c:ptCount val="7"/>
                <c:pt idx="0">
                  <c:v>0</c:v>
                </c:pt>
                <c:pt idx="1">
                  <c:v>-1.2874733184959287E-2</c:v>
                </c:pt>
                <c:pt idx="2">
                  <c:v>-3.8624199218558294E-2</c:v>
                </c:pt>
                <c:pt idx="3">
                  <c:v>-7.7248397764477478E-2</c:v>
                </c:pt>
                <c:pt idx="4">
                  <c:v>-0.12874732848639728</c:v>
                </c:pt>
                <c:pt idx="5">
                  <c:v>-0.19312099104799815</c:v>
                </c:pt>
                <c:pt idx="6">
                  <c:v>-0.2703693851129606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416C-4B88-9040-C82093AF6507}"/>
            </c:ext>
          </c:extLst>
        </c:ser>
        <c:ser>
          <c:idx val="2"/>
          <c:order val="2"/>
          <c:tx>
            <c:strRef>
              <c:f>Sheet1!$AM$33</c:f>
              <c:strCache>
                <c:ptCount val="1"/>
                <c:pt idx="0">
                  <c:v>3 segment (w/o extra)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Sheet1!$AP$35:$AP$41</c:f>
              <c:numCache>
                <c:formatCode>General</c:formatCode>
                <c:ptCount val="7"/>
                <c:pt idx="0">
                  <c:v>0</c:v>
                </c:pt>
                <c:pt idx="1">
                  <c:v>56.326945167093776</c:v>
                </c:pt>
                <c:pt idx="2">
                  <c:v>112.65386529998413</c:v>
                </c:pt>
                <c:pt idx="3">
                  <c:v>168.98076039867664</c:v>
                </c:pt>
                <c:pt idx="4">
                  <c:v>225.30763046317685</c:v>
                </c:pt>
                <c:pt idx="5">
                  <c:v>281.63447549349036</c:v>
                </c:pt>
                <c:pt idx="6">
                  <c:v>337.96129548962267</c:v>
                </c:pt>
              </c:numCache>
            </c:numRef>
          </c:xVal>
          <c:yVal>
            <c:numRef>
              <c:f>Sheet1!$AQ$35:$AQ$41</c:f>
              <c:numCache>
                <c:formatCode>General</c:formatCode>
                <c:ptCount val="7"/>
                <c:pt idx="0">
                  <c:v>0</c:v>
                </c:pt>
                <c:pt idx="1">
                  <c:v>-3.7551305122797925E-2</c:v>
                </c:pt>
                <c:pt idx="2">
                  <c:v>-0.11265390702365838</c:v>
                </c:pt>
                <c:pt idx="3">
                  <c:v>-0.22530779735784781</c:v>
                </c:pt>
                <c:pt idx="4">
                  <c:v>-0.37551296778063453</c:v>
                </c:pt>
                <c:pt idx="5">
                  <c:v>-0.56326940994728869</c:v>
                </c:pt>
                <c:pt idx="6">
                  <c:v>-0.78857711551308229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416C-4B88-9040-C82093AF6507}"/>
            </c:ext>
          </c:extLst>
        </c:ser>
        <c:ser>
          <c:idx val="3"/>
          <c:order val="3"/>
          <c:tx>
            <c:strRef>
              <c:f>Sheet1!$AR$33</c:f>
              <c:strCache>
                <c:ptCount val="1"/>
                <c:pt idx="0">
                  <c:v>3 segment (w/ extra)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Sheet1!$AU$35:$AU$41</c:f>
              <c:numCache>
                <c:formatCode>General</c:formatCode>
                <c:ptCount val="7"/>
                <c:pt idx="0">
                  <c:v>0</c:v>
                </c:pt>
                <c:pt idx="1">
                  <c:v>56.326951798604256</c:v>
                </c:pt>
                <c:pt idx="2">
                  <c:v>112.65389182602388</c:v>
                </c:pt>
                <c:pt idx="3">
                  <c:v>168.98082008226012</c:v>
                </c:pt>
                <c:pt idx="4">
                  <c:v>225.30773656731418</c:v>
                </c:pt>
                <c:pt idx="5">
                  <c:v>281.63464128118733</c:v>
                </c:pt>
                <c:pt idx="6">
                  <c:v>337.96153422388073</c:v>
                </c:pt>
              </c:numCache>
            </c:numRef>
          </c:xVal>
          <c:yVal>
            <c:numRef>
              <c:f>Sheet1!$AV$35:$AV$41</c:f>
              <c:numCache>
                <c:formatCode>General</c:formatCode>
                <c:ptCount val="7"/>
                <c:pt idx="0">
                  <c:v>0</c:v>
                </c:pt>
                <c:pt idx="1">
                  <c:v>-2.5749466369918574E-2</c:v>
                </c:pt>
                <c:pt idx="2">
                  <c:v>-7.7248396419199089E-2</c:v>
                </c:pt>
                <c:pt idx="3">
                  <c:v>-0.15449678745728521</c:v>
                </c:pt>
                <c:pt idx="4">
                  <c:v>-0.25749463679362083</c:v>
                </c:pt>
                <c:pt idx="5">
                  <c:v>-0.38624194173765025</c:v>
                </c:pt>
                <c:pt idx="6">
                  <c:v>-0.54073869959881793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416C-4B88-9040-C82093AF65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2414720"/>
        <c:axId val="92417024"/>
      </c:scatterChart>
      <c:valAx>
        <c:axId val="924147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X-axis</a:t>
                </a:r>
                <a:r>
                  <a:rPr lang="en-US" b="1" baseline="0"/>
                  <a:t> Extension [mm]</a:t>
                </a:r>
                <a:endParaRPr lang="en-US" b="1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2417024"/>
        <c:crossesAt val="-99999"/>
        <c:crossBetween val="midCat"/>
      </c:valAx>
      <c:valAx>
        <c:axId val="92417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Z-axis</a:t>
                </a:r>
                <a:r>
                  <a:rPr lang="en-US" b="1" baseline="0"/>
                  <a:t> Sag [mm]</a:t>
                </a:r>
                <a:endParaRPr lang="en-US" b="1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241472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l"/>
      <c:layout>
        <c:manualLayout>
          <c:xMode val="edge"/>
          <c:yMode val="edge"/>
          <c:x val="0.17222222222222222"/>
          <c:y val="0.4409711286089239"/>
          <c:w val="0.19968659368453776"/>
          <c:h val="0.31250218722659673"/>
        </c:manualLayout>
      </c:layout>
      <c:overlay val="1"/>
      <c:spPr>
        <a:solidFill>
          <a:schemeClr val="bg1"/>
        </a:solidFill>
        <a:ln>
          <a:solidFill>
            <a:schemeClr val="bg1">
              <a:lumMod val="75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Sheet1!$I$33</c:f>
              <c:strCache>
                <c:ptCount val="1"/>
                <c:pt idx="0">
                  <c:v>2 segment (w/o extra)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Sheet1!$L$35:$L$41</c:f>
              <c:numCache>
                <c:formatCode>General</c:formatCode>
                <c:ptCount val="7"/>
                <c:pt idx="0">
                  <c:v>0</c:v>
                </c:pt>
                <c:pt idx="1">
                  <c:v>2.2175964438287883</c:v>
                </c:pt>
                <c:pt idx="2">
                  <c:v>4.4351922568744984</c:v>
                </c:pt>
                <c:pt idx="3">
                  <c:v>6.6527874391372199</c:v>
                </c:pt>
                <c:pt idx="4">
                  <c:v>8.8703819906170427</c:v>
                </c:pt>
                <c:pt idx="5">
                  <c:v>11.087975911314057</c:v>
                </c:pt>
                <c:pt idx="6">
                  <c:v>13.305569201228352</c:v>
                </c:pt>
              </c:numCache>
            </c:numRef>
          </c:xVal>
          <c:yVal>
            <c:numRef>
              <c:f>Sheet1!$M$35:$M$41</c:f>
              <c:numCache>
                <c:formatCode>General</c:formatCode>
                <c:ptCount val="7"/>
                <c:pt idx="0">
                  <c:v>0</c:v>
                </c:pt>
                <c:pt idx="1">
                  <c:v>-1.1827182715841865E-3</c:v>
                </c:pt>
                <c:pt idx="2">
                  <c:v>-3.548154646543727E-3</c:v>
                </c:pt>
                <c:pt idx="3">
                  <c:v>-7.0963089566698119E-3</c:v>
                </c:pt>
                <c:pt idx="4">
                  <c:v>-1.1827181033753657E-2</c:v>
                </c:pt>
                <c:pt idx="5">
                  <c:v>-1.77407707095865E-2</c:v>
                </c:pt>
                <c:pt idx="6">
                  <c:v>-2.4837077815959605E-2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4F0E-4141-824B-0C9A85517F5A}"/>
            </c:ext>
          </c:extLst>
        </c:ser>
        <c:ser>
          <c:idx val="1"/>
          <c:order val="1"/>
          <c:tx>
            <c:strRef>
              <c:f>Sheet1!$N$33</c:f>
              <c:strCache>
                <c:ptCount val="1"/>
                <c:pt idx="0">
                  <c:v>2 segment (w/ extra)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Sheet1!$Q$35:$Q$41</c:f>
              <c:numCache>
                <c:formatCode>General</c:formatCode>
                <c:ptCount val="7"/>
                <c:pt idx="0">
                  <c:v>0</c:v>
                </c:pt>
                <c:pt idx="1">
                  <c:v>2.2175967012912907</c:v>
                </c:pt>
                <c:pt idx="2">
                  <c:v>4.4351932867244646</c:v>
                </c:pt>
                <c:pt idx="3">
                  <c:v>6.6527897562995255</c:v>
                </c:pt>
                <c:pt idx="4">
                  <c:v>8.8703861100164758</c:v>
                </c:pt>
                <c:pt idx="5">
                  <c:v>11.087982347875318</c:v>
                </c:pt>
                <c:pt idx="6">
                  <c:v>13.305578469876057</c:v>
                </c:pt>
              </c:numCache>
            </c:numRef>
          </c:xVal>
          <c:yVal>
            <c:numRef>
              <c:f>Sheet1!$R$35:$R$41</c:f>
              <c:numCache>
                <c:formatCode>General</c:formatCode>
                <c:ptCount val="7"/>
                <c:pt idx="0">
                  <c:v>0</c:v>
                </c:pt>
                <c:pt idx="1">
                  <c:v>-5.0687925925036565E-4</c:v>
                </c:pt>
                <c:pt idx="2">
                  <c:v>-1.5206377645101692E-3</c:v>
                </c:pt>
                <c:pt idx="3">
                  <c:v>-3.0412755025384835E-3</c:v>
                </c:pt>
                <c:pt idx="4">
                  <c:v>-5.0687924600943818E-3</c:v>
                </c:pt>
                <c:pt idx="5">
                  <c:v>-7.6031886239369363E-3</c:v>
                </c:pt>
                <c:pt idx="6">
                  <c:v>-1.0644463980825221E-2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4F0E-4141-824B-0C9A85517F5A}"/>
            </c:ext>
          </c:extLst>
        </c:ser>
        <c:ser>
          <c:idx val="2"/>
          <c:order val="2"/>
          <c:tx>
            <c:strRef>
              <c:f>Sheet1!$S$33</c:f>
              <c:strCache>
                <c:ptCount val="1"/>
                <c:pt idx="0">
                  <c:v>3 segment (w/o extra)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Sheet1!$V$35:$V$41</c:f>
              <c:numCache>
                <c:formatCode>General</c:formatCode>
                <c:ptCount val="7"/>
                <c:pt idx="0">
                  <c:v>0</c:v>
                </c:pt>
                <c:pt idx="1">
                  <c:v>2.2175962664210149</c:v>
                </c:pt>
                <c:pt idx="2">
                  <c:v>4.4351915472434698</c:v>
                </c:pt>
                <c:pt idx="3">
                  <c:v>6.6527858424675843</c:v>
                </c:pt>
                <c:pt idx="4">
                  <c:v>8.8703791520935766</c:v>
                </c:pt>
                <c:pt idx="5">
                  <c:v>11.087971476121666</c:v>
                </c:pt>
                <c:pt idx="6">
                  <c:v>13.305562814552072</c:v>
                </c:pt>
              </c:numCache>
            </c:numRef>
          </c:xVal>
          <c:yVal>
            <c:numRef>
              <c:f>Sheet1!$W$35:$W$41</c:f>
              <c:numCache>
                <c:formatCode>General</c:formatCode>
                <c:ptCount val="7"/>
                <c:pt idx="0">
                  <c:v>0</c:v>
                </c:pt>
                <c:pt idx="1">
                  <c:v>-1.4783978394802332E-3</c:v>
                </c:pt>
                <c:pt idx="2">
                  <c:v>-4.4351931899078096E-3</c:v>
                </c:pt>
                <c:pt idx="3">
                  <c:v>-8.8703857227499135E-3</c:v>
                </c:pt>
                <c:pt idx="4">
                  <c:v>-1.4783975109473799E-2</c:v>
                </c:pt>
                <c:pt idx="5">
                  <c:v>-2.2175961021546797E-2</c:v>
                </c:pt>
                <c:pt idx="6">
                  <c:v>-3.1046343130436312E-2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4F0E-4141-824B-0C9A85517F5A}"/>
            </c:ext>
          </c:extLst>
        </c:ser>
        <c:ser>
          <c:idx val="3"/>
          <c:order val="3"/>
          <c:tx>
            <c:strRef>
              <c:f>Sheet1!$X$33</c:f>
              <c:strCache>
                <c:ptCount val="1"/>
                <c:pt idx="0">
                  <c:v>3 segment (w/ extra)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Sheet1!$AA$35:$AA$41</c:f>
              <c:numCache>
                <c:formatCode>General</c:formatCode>
                <c:ptCount val="7"/>
                <c:pt idx="0">
                  <c:v>0</c:v>
                </c:pt>
                <c:pt idx="1">
                  <c:v>2.2175965275041047</c:v>
                </c:pt>
                <c:pt idx="2">
                  <c:v>4.4351925915757437</c:v>
                </c:pt>
                <c:pt idx="3">
                  <c:v>6.6527881922149659</c:v>
                </c:pt>
                <c:pt idx="4">
                  <c:v>8.87038332942182</c:v>
                </c:pt>
                <c:pt idx="5">
                  <c:v>11.087978003196353</c:v>
                </c:pt>
                <c:pt idx="6">
                  <c:v>13.305572213538614</c:v>
                </c:pt>
              </c:numCache>
            </c:numRef>
          </c:xVal>
          <c:yVal>
            <c:numRef>
              <c:f>Sheet1!$AB$35:$AB$41</c:f>
              <c:numCache>
                <c:formatCode>General</c:formatCode>
                <c:ptCount val="7"/>
                <c:pt idx="0">
                  <c:v>0</c:v>
                </c:pt>
                <c:pt idx="1">
                  <c:v>-1.0137585185007313E-3</c:v>
                </c:pt>
                <c:pt idx="2">
                  <c:v>-3.0412754495747676E-3</c:v>
                </c:pt>
                <c:pt idx="3">
                  <c:v>-6.0825506872946942E-3</c:v>
                </c:pt>
                <c:pt idx="4">
                  <c:v>-1.0137584125733106E-2</c:v>
                </c:pt>
                <c:pt idx="5">
                  <c:v>-1.5206375658962611E-2</c:v>
                </c:pt>
                <c:pt idx="6">
                  <c:v>-2.1288925181055827E-2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4F0E-4141-824B-0C9A85517F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2433024"/>
        <c:axId val="92443776"/>
      </c:scatterChart>
      <c:valAx>
        <c:axId val="924330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X-axis</a:t>
                </a:r>
                <a:r>
                  <a:rPr lang="en-US" b="1" baseline="0"/>
                  <a:t> Extension [inches]</a:t>
                </a:r>
                <a:endParaRPr lang="en-US" b="1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2443776"/>
        <c:crossesAt val="-99999"/>
        <c:crossBetween val="midCat"/>
      </c:valAx>
      <c:valAx>
        <c:axId val="92443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Z-axis</a:t>
                </a:r>
                <a:r>
                  <a:rPr lang="en-US" b="1" baseline="0"/>
                  <a:t> Sag [inches]</a:t>
                </a:r>
                <a:endParaRPr lang="en-US" b="1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243302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l"/>
      <c:layout>
        <c:manualLayout>
          <c:xMode val="edge"/>
          <c:yMode val="edge"/>
          <c:x val="0.17222222222222222"/>
          <c:y val="0.4409711286089239"/>
          <c:w val="0.19968659368453776"/>
          <c:h val="0.31250218722659673"/>
        </c:manualLayout>
      </c:layout>
      <c:overlay val="1"/>
      <c:spPr>
        <a:solidFill>
          <a:schemeClr val="bg1"/>
        </a:solidFill>
        <a:ln>
          <a:solidFill>
            <a:schemeClr val="bg1">
              <a:lumMod val="75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285750</xdr:colOff>
      <xdr:row>11</xdr:row>
      <xdr:rowOff>19049</xdr:rowOff>
    </xdr:from>
    <xdr:to>
      <xdr:col>22</xdr:col>
      <xdr:colOff>400050</xdr:colOff>
      <xdr:row>29</xdr:row>
      <xdr:rowOff>85724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336176</xdr:colOff>
      <xdr:row>42</xdr:row>
      <xdr:rowOff>67236</xdr:rowOff>
    </xdr:from>
    <xdr:to>
      <xdr:col>33</xdr:col>
      <xdr:colOff>102534</xdr:colOff>
      <xdr:row>56</xdr:row>
      <xdr:rowOff>143436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0</xdr:colOff>
      <xdr:row>42</xdr:row>
      <xdr:rowOff>0</xdr:rowOff>
    </xdr:from>
    <xdr:to>
      <xdr:col>20</xdr:col>
      <xdr:colOff>38100</xdr:colOff>
      <xdr:row>56</xdr:row>
      <xdr:rowOff>76200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V75"/>
  <sheetViews>
    <sheetView tabSelected="1" zoomScale="85" zoomScaleNormal="85" workbookViewId="0">
      <selection activeCell="G15" sqref="G15"/>
    </sheetView>
  </sheetViews>
  <sheetFormatPr defaultRowHeight="15" x14ac:dyDescent="0.25"/>
  <cols>
    <col min="1" max="1" width="32.85546875" customWidth="1"/>
    <col min="2" max="2" width="4.28515625" style="3" customWidth="1"/>
    <col min="17" max="17" width="14.140625" customWidth="1"/>
  </cols>
  <sheetData>
    <row r="1" spans="1:23" x14ac:dyDescent="0.25">
      <c r="A1" s="1" t="s">
        <v>81</v>
      </c>
    </row>
    <row r="2" spans="1:23" x14ac:dyDescent="0.25">
      <c r="A2" s="1" t="s">
        <v>80</v>
      </c>
      <c r="H2" s="11"/>
      <c r="I2" s="39" t="s">
        <v>22</v>
      </c>
      <c r="J2" s="40"/>
      <c r="K2" s="40"/>
      <c r="L2" s="40"/>
      <c r="M2" s="39" t="s">
        <v>23</v>
      </c>
      <c r="N2" s="40"/>
      <c r="O2" s="40"/>
      <c r="P2" s="40"/>
      <c r="Q2" s="16" t="s">
        <v>43</v>
      </c>
      <c r="R2" s="9">
        <v>12.657876999999999</v>
      </c>
      <c r="S2" s="14" t="s">
        <v>44</v>
      </c>
      <c r="T2" s="15" t="str">
        <f>IF(R2&gt;=C17,IF(R2&lt;=C22,"IN RANGE","TOO FAR"),"TOO SHORT")</f>
        <v>IN RANGE</v>
      </c>
    </row>
    <row r="3" spans="1:23" x14ac:dyDescent="0.25">
      <c r="H3" s="13" t="s">
        <v>40</v>
      </c>
      <c r="I3" s="12" t="s">
        <v>24</v>
      </c>
      <c r="J3" s="10" t="s">
        <v>38</v>
      </c>
      <c r="K3" s="10" t="s">
        <v>25</v>
      </c>
      <c r="L3" s="10" t="s">
        <v>39</v>
      </c>
      <c r="M3" s="12" t="s">
        <v>24</v>
      </c>
      <c r="N3" s="10" t="s">
        <v>38</v>
      </c>
      <c r="O3" s="10" t="s">
        <v>25</v>
      </c>
      <c r="P3" s="10" t="s">
        <v>39</v>
      </c>
      <c r="Q3" s="12" t="s">
        <v>24</v>
      </c>
      <c r="R3" s="10" t="s">
        <v>38</v>
      </c>
      <c r="S3" s="10" t="s">
        <v>25</v>
      </c>
      <c r="T3" s="10" t="s">
        <v>39</v>
      </c>
    </row>
    <row r="4" spans="1:23" x14ac:dyDescent="0.25">
      <c r="A4" t="s">
        <v>4</v>
      </c>
      <c r="B4" s="3" t="s">
        <v>20</v>
      </c>
      <c r="C4">
        <v>2.25</v>
      </c>
      <c r="D4" t="s">
        <v>1</v>
      </c>
      <c r="E4" s="1">
        <f t="shared" ref="E4" si="0">IFERROR(C4*25.4,0)</f>
        <v>57.15</v>
      </c>
      <c r="F4" s="1" t="s">
        <v>2</v>
      </c>
      <c r="H4" s="11">
        <v>0</v>
      </c>
      <c r="I4" s="2">
        <f t="shared" ref="I4:I9" si="1">IF($H4&lt;=$C$12,$H4*$C$4*SIN($C$10),"")</f>
        <v>0</v>
      </c>
      <c r="J4" s="2">
        <f t="shared" ref="J4:J9" si="2">IF($H4&lt;=$C$12,IF(ISEVEN($H4),$C$4*COS($C$10)/2,-$C$4*COS($C$10)/2),"")</f>
        <v>1.1087983796101748</v>
      </c>
      <c r="K4" s="2">
        <f t="shared" ref="K4:K9" si="3">IF($H4&lt;=$C$12,$H4*$C$4*SIN($C$10),"")</f>
        <v>0</v>
      </c>
      <c r="L4" s="2">
        <f t="shared" ref="L4:L9" si="4">IF($H4&lt;=$C$12,IF(ISODD($H4),$C$4*COS($C$10)/2,-$C$4*COS($C$10)/2),"")</f>
        <v>-1.1087983796101748</v>
      </c>
      <c r="M4" s="17">
        <f t="shared" ref="M4:M9" si="5">IF($H4&lt;=$C$12,$H4*$C$4*COS($C$10),"")</f>
        <v>0</v>
      </c>
      <c r="N4" s="18">
        <f t="shared" ref="N4:N9" si="6">IF($H4&lt;=$C$12,IF(ISEVEN($H4),$C$4*SIN($C$10)/2,-$C$4*SIN($C$10)/2),"")</f>
        <v>0.19023972606648309</v>
      </c>
      <c r="O4" s="18">
        <f t="shared" ref="O4:O9" si="7">IF($H4&lt;=$C$12,$H4*$C$4*COS($C$10),"")</f>
        <v>0</v>
      </c>
      <c r="P4" s="18">
        <f t="shared" ref="P4:P9" si="8">IF($H4&lt;=$C$12,IF(ISODD($H4),$C$4*SIN($C$10)/2,-$C$4*SIN($C$10)/2),"")</f>
        <v>-0.19023972606648309</v>
      </c>
      <c r="Q4" s="19">
        <f t="shared" ref="Q4:Q24" si="9">IF($H4&lt;=$C$12,IF($T$2="IN RANGE",$R$2/$C$12*$H4,""),"")</f>
        <v>0</v>
      </c>
      <c r="R4">
        <f t="shared" ref="R4:R24" si="10">IF($H4&lt;=$C$12,IF(ISEVEN($H4),SQRT($C$4^2-($R$2/$C$12)^2)/2,-SQRT($C$4^2-($R$2/$C$12)^2)/2),"")</f>
        <v>0.39111796541089755</v>
      </c>
      <c r="S4">
        <f t="shared" ref="S4:S24" si="11">IF($H4&lt;=$C$12,IF($T$2="IN RANGE",$R$2/$C$12*$H4,""),"")</f>
        <v>0</v>
      </c>
      <c r="T4">
        <f t="shared" ref="T4:T24" si="12">IF($H4&lt;=$C$12,IF(ISODD($H4),SQRT($C$4^2-($R$2/$C$12)^2)/2,-SQRT($C$4^2-($R$2/$C$12)^2)/2),"")</f>
        <v>-0.39111796541089755</v>
      </c>
      <c r="V4">
        <f>R2/(C12*2)</f>
        <v>1.0548230833333332</v>
      </c>
      <c r="W4">
        <f>R2/V4</f>
        <v>12</v>
      </c>
    </row>
    <row r="5" spans="1:23" x14ac:dyDescent="0.25">
      <c r="A5" t="s">
        <v>0</v>
      </c>
      <c r="B5" s="3" t="s">
        <v>6</v>
      </c>
      <c r="C5">
        <v>0.375</v>
      </c>
      <c r="D5" t="s">
        <v>1</v>
      </c>
      <c r="E5" s="1">
        <f t="shared" ref="E5" si="13">IFERROR(C5*25.4,0)</f>
        <v>9.5249999999999986</v>
      </c>
      <c r="F5" s="1" t="s">
        <v>2</v>
      </c>
      <c r="H5" s="11">
        <v>1</v>
      </c>
      <c r="I5" s="2">
        <f t="shared" si="1"/>
        <v>0.38047945213296619</v>
      </c>
      <c r="J5" s="2">
        <f t="shared" si="2"/>
        <v>-1.1087983796101748</v>
      </c>
      <c r="K5" s="2">
        <f t="shared" si="3"/>
        <v>0.38047945213296619</v>
      </c>
      <c r="L5" s="2">
        <f t="shared" si="4"/>
        <v>1.1087983796101748</v>
      </c>
      <c r="M5" s="17">
        <f t="shared" si="5"/>
        <v>2.2175967592203496</v>
      </c>
      <c r="N5" s="18">
        <f t="shared" si="6"/>
        <v>-0.19023972606648309</v>
      </c>
      <c r="O5" s="18">
        <f t="shared" si="7"/>
        <v>2.2175967592203496</v>
      </c>
      <c r="P5" s="18">
        <f t="shared" si="8"/>
        <v>0.19023972606648309</v>
      </c>
      <c r="Q5" s="19">
        <f t="shared" si="9"/>
        <v>2.1096461666666664</v>
      </c>
      <c r="R5">
        <f t="shared" si="10"/>
        <v>-0.39111796541089755</v>
      </c>
      <c r="S5">
        <f t="shared" si="11"/>
        <v>2.1096461666666664</v>
      </c>
      <c r="T5">
        <f t="shared" si="12"/>
        <v>0.39111796541089755</v>
      </c>
    </row>
    <row r="6" spans="1:23" x14ac:dyDescent="0.25">
      <c r="A6" t="s">
        <v>19</v>
      </c>
      <c r="B6" s="3" t="s">
        <v>5</v>
      </c>
      <c r="C6" s="2">
        <f>C4+C5</f>
        <v>2.625</v>
      </c>
      <c r="D6" s="2" t="s">
        <v>1</v>
      </c>
      <c r="E6" s="5">
        <f>IFERROR(C6*25.4,0)</f>
        <v>66.674999999999997</v>
      </c>
      <c r="F6" s="5" t="s">
        <v>2</v>
      </c>
      <c r="H6" s="11">
        <v>2</v>
      </c>
      <c r="I6" s="2">
        <f t="shared" si="1"/>
        <v>0.76095890426593238</v>
      </c>
      <c r="J6" s="2">
        <f t="shared" si="2"/>
        <v>1.1087983796101748</v>
      </c>
      <c r="K6" s="2">
        <f t="shared" si="3"/>
        <v>0.76095890426593238</v>
      </c>
      <c r="L6" s="2">
        <f t="shared" si="4"/>
        <v>-1.1087983796101748</v>
      </c>
      <c r="M6" s="17">
        <f t="shared" si="5"/>
        <v>4.4351935184406992</v>
      </c>
      <c r="N6" s="18">
        <f t="shared" si="6"/>
        <v>0.19023972606648309</v>
      </c>
      <c r="O6" s="18">
        <f t="shared" si="7"/>
        <v>4.4351935184406992</v>
      </c>
      <c r="P6" s="18">
        <f t="shared" si="8"/>
        <v>-0.19023972606648309</v>
      </c>
      <c r="Q6" s="19">
        <f t="shared" si="9"/>
        <v>4.2192923333333328</v>
      </c>
      <c r="R6">
        <f>IF($H6&lt;=$C$12,IF(ISEVEN($H6),SQRT($C$4^2-($R$2/$C$12)^2)/2,-SQRT($C$4^2-($R$2/$C$12)^2)/2),"")</f>
        <v>0.39111796541089755</v>
      </c>
      <c r="S6">
        <f t="shared" si="11"/>
        <v>4.2192923333333328</v>
      </c>
      <c r="T6">
        <f t="shared" si="12"/>
        <v>-0.39111796541089755</v>
      </c>
      <c r="V6" t="s">
        <v>112</v>
      </c>
    </row>
    <row r="7" spans="1:23" x14ac:dyDescent="0.25">
      <c r="A7" t="s">
        <v>3</v>
      </c>
      <c r="B7" s="3" t="s">
        <v>7</v>
      </c>
      <c r="C7">
        <v>0.1875</v>
      </c>
      <c r="D7" t="s">
        <v>1</v>
      </c>
      <c r="E7" s="1">
        <f>IFERROR(C7*25.4,0)</f>
        <v>4.7624999999999993</v>
      </c>
      <c r="F7" s="1" t="s">
        <v>2</v>
      </c>
      <c r="H7" s="11">
        <v>3</v>
      </c>
      <c r="I7" s="2">
        <f t="shared" si="1"/>
        <v>1.1414383563988986</v>
      </c>
      <c r="J7" s="2">
        <f t="shared" si="2"/>
        <v>-1.1087983796101748</v>
      </c>
      <c r="K7" s="2">
        <f t="shared" si="3"/>
        <v>1.1414383563988986</v>
      </c>
      <c r="L7" s="2">
        <f t="shared" si="4"/>
        <v>1.1087983796101748</v>
      </c>
      <c r="M7" s="17">
        <f t="shared" si="5"/>
        <v>6.6527902776610492</v>
      </c>
      <c r="N7" s="18">
        <f t="shared" si="6"/>
        <v>-0.19023972606648309</v>
      </c>
      <c r="O7" s="18">
        <f t="shared" si="7"/>
        <v>6.6527902776610492</v>
      </c>
      <c r="P7" s="18">
        <f t="shared" si="8"/>
        <v>0.19023972606648309</v>
      </c>
      <c r="Q7" s="19">
        <f t="shared" si="9"/>
        <v>6.3289384999999996</v>
      </c>
      <c r="R7">
        <f t="shared" si="10"/>
        <v>-0.39111796541089755</v>
      </c>
      <c r="S7">
        <f t="shared" si="11"/>
        <v>6.3289384999999996</v>
      </c>
      <c r="T7">
        <f t="shared" si="12"/>
        <v>0.39111796541089755</v>
      </c>
      <c r="V7">
        <f>T7-T6-3/16</f>
        <v>0.5947359308217951</v>
      </c>
      <c r="W7" t="s">
        <v>1</v>
      </c>
    </row>
    <row r="8" spans="1:23" x14ac:dyDescent="0.25">
      <c r="H8" s="11">
        <v>4</v>
      </c>
      <c r="I8" s="2">
        <f t="shared" si="1"/>
        <v>1.5219178085318648</v>
      </c>
      <c r="J8" s="2">
        <f t="shared" si="2"/>
        <v>1.1087983796101748</v>
      </c>
      <c r="K8" s="2">
        <f t="shared" si="3"/>
        <v>1.5219178085318648</v>
      </c>
      <c r="L8" s="2">
        <f t="shared" si="4"/>
        <v>-1.1087983796101748</v>
      </c>
      <c r="M8" s="17">
        <f t="shared" si="5"/>
        <v>8.8703870368813984</v>
      </c>
      <c r="N8" s="18">
        <f t="shared" si="6"/>
        <v>0.19023972606648309</v>
      </c>
      <c r="O8" s="18">
        <f t="shared" si="7"/>
        <v>8.8703870368813984</v>
      </c>
      <c r="P8" s="18">
        <f t="shared" si="8"/>
        <v>-0.19023972606648309</v>
      </c>
      <c r="Q8" s="19">
        <f t="shared" si="9"/>
        <v>8.4385846666666655</v>
      </c>
      <c r="R8">
        <f t="shared" si="10"/>
        <v>0.39111796541089755</v>
      </c>
      <c r="S8">
        <f t="shared" si="11"/>
        <v>8.4385846666666655</v>
      </c>
      <c r="T8">
        <f t="shared" si="12"/>
        <v>-0.39111796541089755</v>
      </c>
    </row>
    <row r="9" spans="1:23" x14ac:dyDescent="0.25">
      <c r="A9" t="s">
        <v>10</v>
      </c>
      <c r="B9" s="4" t="s">
        <v>17</v>
      </c>
      <c r="C9" s="2">
        <f>ASIN(2*C5/C4)</f>
        <v>0.33983690945412193</v>
      </c>
      <c r="D9" s="2" t="s">
        <v>13</v>
      </c>
      <c r="E9" s="5">
        <f>DEGREES(C9)</f>
        <v>19.471220634490692</v>
      </c>
      <c r="F9" s="2" t="s">
        <v>12</v>
      </c>
      <c r="H9" s="11">
        <v>5</v>
      </c>
      <c r="I9" s="2">
        <f t="shared" si="1"/>
        <v>1.9023972606648309</v>
      </c>
      <c r="J9" s="2">
        <f t="shared" si="2"/>
        <v>-1.1087983796101748</v>
      </c>
      <c r="K9" s="2">
        <f t="shared" si="3"/>
        <v>1.9023972606648309</v>
      </c>
      <c r="L9" s="2">
        <f t="shared" si="4"/>
        <v>1.1087983796101748</v>
      </c>
      <c r="M9" s="17">
        <f t="shared" si="5"/>
        <v>11.087983796101748</v>
      </c>
      <c r="N9" s="18">
        <f t="shared" si="6"/>
        <v>-0.19023972606648309</v>
      </c>
      <c r="O9" s="18">
        <f t="shared" si="7"/>
        <v>11.087983796101748</v>
      </c>
      <c r="P9" s="18">
        <f t="shared" si="8"/>
        <v>0.19023972606648309</v>
      </c>
      <c r="Q9" s="19">
        <f t="shared" si="9"/>
        <v>10.548230833333331</v>
      </c>
      <c r="R9">
        <f t="shared" si="10"/>
        <v>-0.39111796541089755</v>
      </c>
      <c r="S9">
        <f t="shared" si="11"/>
        <v>10.548230833333331</v>
      </c>
      <c r="T9">
        <f t="shared" si="12"/>
        <v>0.39111796541089755</v>
      </c>
    </row>
    <row r="10" spans="1:23" x14ac:dyDescent="0.25">
      <c r="A10" t="s">
        <v>14</v>
      </c>
      <c r="B10" s="4" t="s">
        <v>11</v>
      </c>
      <c r="C10" s="2">
        <f>C9/2</f>
        <v>0.16991845472706096</v>
      </c>
      <c r="D10" s="2" t="s">
        <v>13</v>
      </c>
      <c r="E10" s="5">
        <f>DEGREES(C10)</f>
        <v>9.7356103172453459</v>
      </c>
      <c r="F10" s="2" t="s">
        <v>12</v>
      </c>
      <c r="H10" s="11">
        <v>6</v>
      </c>
      <c r="I10" s="2">
        <f t="shared" ref="I10:I24" si="14">IF(H10&lt;=$C$12,$H10*$C$4*SIN($C$10),"")</f>
        <v>2.2828767127977971</v>
      </c>
      <c r="J10" s="2">
        <f t="shared" ref="J10:J24" si="15">IF(H10&lt;=$C$12,IF(ISEVEN($H10),$C$4*COS($C$10)/2,-$C$4*COS($C$10)/2),"")</f>
        <v>1.1087983796101748</v>
      </c>
      <c r="K10" s="2">
        <f t="shared" ref="K10:K24" si="16">IF(H10&lt;=$C$12,$H10*$C$4*SIN($C$10),"")</f>
        <v>2.2828767127977971</v>
      </c>
      <c r="L10" s="2">
        <f t="shared" ref="L10:L24" si="17">IF(H10&lt;=$C$12,IF(ISODD($H10),$C$4*COS($C$10)/2,-$C$4*COS($C$10)/2),"")</f>
        <v>-1.1087983796101748</v>
      </c>
      <c r="M10" s="17">
        <f t="shared" ref="M10:M24" si="18">IF(H10&lt;=$C$12,$H10*$C$4*COS($C$10),"")</f>
        <v>13.305580555322098</v>
      </c>
      <c r="N10" s="18">
        <f t="shared" ref="N10:N24" si="19">IF(H10&lt;=$C$12,IF(ISEVEN($H10),$C$4*SIN($C$10)/2,-$C$4*SIN($C$10)/2),"")</f>
        <v>0.19023972606648309</v>
      </c>
      <c r="O10" s="18">
        <f t="shared" ref="O10:O24" si="20">IF(H10&lt;=$C$12,$H10*$C$4*COS($C$10),"")</f>
        <v>13.305580555322098</v>
      </c>
      <c r="P10" s="18">
        <f t="shared" ref="P10:P24" si="21">IF(H10&lt;=$C$12,IF(ISODD($H10),$C$4*SIN($C$10)/2,-$C$4*SIN($C$10)/2),"")</f>
        <v>-0.19023972606648309</v>
      </c>
      <c r="Q10" s="19">
        <f t="shared" si="9"/>
        <v>12.657876999999999</v>
      </c>
      <c r="R10">
        <f t="shared" si="10"/>
        <v>0.39111796541089755</v>
      </c>
      <c r="S10">
        <f t="shared" si="11"/>
        <v>12.657876999999999</v>
      </c>
      <c r="T10">
        <f t="shared" si="12"/>
        <v>-0.39111796541089755</v>
      </c>
    </row>
    <row r="11" spans="1:23" x14ac:dyDescent="0.25">
      <c r="H11" s="11">
        <v>7</v>
      </c>
      <c r="I11" s="2" t="str">
        <f t="shared" si="14"/>
        <v/>
      </c>
      <c r="J11" s="2" t="str">
        <f t="shared" si="15"/>
        <v/>
      </c>
      <c r="K11" s="2" t="str">
        <f t="shared" si="16"/>
        <v/>
      </c>
      <c r="L11" s="2" t="str">
        <f t="shared" si="17"/>
        <v/>
      </c>
      <c r="M11" s="17" t="str">
        <f t="shared" si="18"/>
        <v/>
      </c>
      <c r="N11" s="18" t="str">
        <f t="shared" si="19"/>
        <v/>
      </c>
      <c r="O11" s="18" t="str">
        <f t="shared" si="20"/>
        <v/>
      </c>
      <c r="P11" s="18" t="str">
        <f t="shared" si="21"/>
        <v/>
      </c>
      <c r="Q11" s="19" t="str">
        <f t="shared" si="9"/>
        <v/>
      </c>
      <c r="R11" t="str">
        <f t="shared" si="10"/>
        <v/>
      </c>
      <c r="S11" t="str">
        <f t="shared" si="11"/>
        <v/>
      </c>
      <c r="T11" t="str">
        <f t="shared" si="12"/>
        <v/>
      </c>
    </row>
    <row r="12" spans="1:23" x14ac:dyDescent="0.25">
      <c r="A12" t="s">
        <v>8</v>
      </c>
      <c r="B12" s="3" t="s">
        <v>9</v>
      </c>
      <c r="C12">
        <v>6</v>
      </c>
      <c r="H12" s="11">
        <v>8</v>
      </c>
      <c r="I12" s="2" t="str">
        <f t="shared" si="14"/>
        <v/>
      </c>
      <c r="J12" s="2" t="str">
        <f t="shared" si="15"/>
        <v/>
      </c>
      <c r="K12" s="2" t="str">
        <f t="shared" si="16"/>
        <v/>
      </c>
      <c r="L12" s="2" t="str">
        <f t="shared" si="17"/>
        <v/>
      </c>
      <c r="M12" s="17" t="str">
        <f t="shared" si="18"/>
        <v/>
      </c>
      <c r="N12" s="18" t="str">
        <f t="shared" si="19"/>
        <v/>
      </c>
      <c r="O12" s="18" t="str">
        <f t="shared" si="20"/>
        <v/>
      </c>
      <c r="P12" s="18" t="str">
        <f t="shared" si="21"/>
        <v/>
      </c>
      <c r="Q12" s="19" t="str">
        <f t="shared" si="9"/>
        <v/>
      </c>
      <c r="R12" t="str">
        <f t="shared" si="10"/>
        <v/>
      </c>
      <c r="S12" t="str">
        <f t="shared" si="11"/>
        <v/>
      </c>
      <c r="T12" t="str">
        <f t="shared" si="12"/>
        <v/>
      </c>
    </row>
    <row r="13" spans="1:23" x14ac:dyDescent="0.25">
      <c r="H13" s="11">
        <v>9</v>
      </c>
      <c r="I13" s="2" t="str">
        <f t="shared" si="14"/>
        <v/>
      </c>
      <c r="J13" s="2" t="str">
        <f t="shared" si="15"/>
        <v/>
      </c>
      <c r="K13" s="2" t="str">
        <f t="shared" si="16"/>
        <v/>
      </c>
      <c r="L13" s="2" t="str">
        <f t="shared" si="17"/>
        <v/>
      </c>
      <c r="M13" s="17" t="str">
        <f t="shared" si="18"/>
        <v/>
      </c>
      <c r="N13" s="18" t="str">
        <f t="shared" si="19"/>
        <v/>
      </c>
      <c r="O13" s="18" t="str">
        <f t="shared" si="20"/>
        <v/>
      </c>
      <c r="P13" s="18" t="str">
        <f t="shared" si="21"/>
        <v/>
      </c>
      <c r="Q13" s="19" t="str">
        <f t="shared" si="9"/>
        <v/>
      </c>
      <c r="R13" t="str">
        <f t="shared" si="10"/>
        <v/>
      </c>
      <c r="S13" t="str">
        <f t="shared" si="11"/>
        <v/>
      </c>
      <c r="T13" t="str">
        <f t="shared" si="12"/>
        <v/>
      </c>
    </row>
    <row r="14" spans="1:23" x14ac:dyDescent="0.25">
      <c r="A14" t="s">
        <v>15</v>
      </c>
      <c r="B14" s="3" t="s">
        <v>16</v>
      </c>
      <c r="C14" s="2">
        <f>C$4*COS(C$10)+C$5</f>
        <v>2.5925967592203496</v>
      </c>
      <c r="D14" s="2" t="s">
        <v>1</v>
      </c>
      <c r="E14" s="5">
        <f t="shared" ref="E14" si="22">IFERROR(C14*25.4,0)</f>
        <v>65.851957684196876</v>
      </c>
      <c r="F14" s="5" t="s">
        <v>2</v>
      </c>
      <c r="H14" s="11">
        <v>10</v>
      </c>
      <c r="I14" s="2" t="str">
        <f t="shared" si="14"/>
        <v/>
      </c>
      <c r="J14" s="2" t="str">
        <f t="shared" si="15"/>
        <v/>
      </c>
      <c r="K14" s="2" t="str">
        <f t="shared" si="16"/>
        <v/>
      </c>
      <c r="L14" s="2" t="str">
        <f t="shared" si="17"/>
        <v/>
      </c>
      <c r="M14" s="17" t="str">
        <f t="shared" si="18"/>
        <v/>
      </c>
      <c r="N14" s="18" t="str">
        <f t="shared" si="19"/>
        <v/>
      </c>
      <c r="O14" s="18" t="str">
        <f t="shared" si="20"/>
        <v/>
      </c>
      <c r="P14" s="18" t="str">
        <f t="shared" si="21"/>
        <v/>
      </c>
      <c r="Q14" s="19" t="str">
        <f t="shared" si="9"/>
        <v/>
      </c>
      <c r="R14" t="str">
        <f t="shared" si="10"/>
        <v/>
      </c>
      <c r="S14" t="str">
        <f t="shared" si="11"/>
        <v/>
      </c>
      <c r="T14" t="str">
        <f t="shared" si="12"/>
        <v/>
      </c>
    </row>
    <row r="15" spans="1:23" x14ac:dyDescent="0.25">
      <c r="A15" t="s">
        <v>29</v>
      </c>
      <c r="B15" s="3" t="s">
        <v>30</v>
      </c>
      <c r="C15" s="2">
        <f>C$4*SIN(C$10)*C$12+C$5</f>
        <v>2.6578767127977971</v>
      </c>
      <c r="D15" s="2" t="s">
        <v>1</v>
      </c>
      <c r="E15" s="5">
        <f t="shared" ref="E15:E16" si="23">IFERROR(C15*25.4,0)</f>
        <v>67.510068505064041</v>
      </c>
      <c r="F15" s="5" t="s">
        <v>2</v>
      </c>
      <c r="H15" s="11">
        <v>11</v>
      </c>
      <c r="I15" s="2" t="str">
        <f t="shared" si="14"/>
        <v/>
      </c>
      <c r="J15" s="2" t="str">
        <f t="shared" si="15"/>
        <v/>
      </c>
      <c r="K15" s="2" t="str">
        <f t="shared" si="16"/>
        <v/>
      </c>
      <c r="L15" s="2" t="str">
        <f t="shared" si="17"/>
        <v/>
      </c>
      <c r="M15" s="17" t="str">
        <f t="shared" si="18"/>
        <v/>
      </c>
      <c r="N15" s="18" t="str">
        <f t="shared" si="19"/>
        <v/>
      </c>
      <c r="O15" s="18" t="str">
        <f t="shared" si="20"/>
        <v/>
      </c>
      <c r="P15" s="18" t="str">
        <f t="shared" si="21"/>
        <v/>
      </c>
      <c r="Q15" s="19" t="str">
        <f t="shared" si="9"/>
        <v/>
      </c>
      <c r="R15" t="str">
        <f t="shared" si="10"/>
        <v/>
      </c>
      <c r="S15" t="str">
        <f t="shared" si="11"/>
        <v/>
      </c>
      <c r="T15" t="str">
        <f t="shared" si="12"/>
        <v/>
      </c>
    </row>
    <row r="16" spans="1:23" x14ac:dyDescent="0.25">
      <c r="A16" s="7" t="s">
        <v>34</v>
      </c>
      <c r="C16" s="2">
        <f>C$4*COS(C$10)</f>
        <v>2.2175967592203496</v>
      </c>
      <c r="D16" s="2" t="s">
        <v>1</v>
      </c>
      <c r="E16" s="5">
        <f t="shared" si="23"/>
        <v>56.326957684196877</v>
      </c>
      <c r="F16" s="5" t="s">
        <v>2</v>
      </c>
      <c r="H16" s="11">
        <v>12</v>
      </c>
      <c r="I16" s="2" t="str">
        <f t="shared" si="14"/>
        <v/>
      </c>
      <c r="J16" s="2" t="str">
        <f t="shared" si="15"/>
        <v/>
      </c>
      <c r="K16" s="2" t="str">
        <f t="shared" si="16"/>
        <v/>
      </c>
      <c r="L16" s="2" t="str">
        <f t="shared" si="17"/>
        <v/>
      </c>
      <c r="M16" s="17" t="str">
        <f t="shared" si="18"/>
        <v/>
      </c>
      <c r="N16" s="18" t="str">
        <f t="shared" si="19"/>
        <v/>
      </c>
      <c r="O16" s="18" t="str">
        <f t="shared" si="20"/>
        <v/>
      </c>
      <c r="P16" s="18" t="str">
        <f t="shared" si="21"/>
        <v/>
      </c>
      <c r="Q16" s="19" t="str">
        <f t="shared" si="9"/>
        <v/>
      </c>
      <c r="R16" t="str">
        <f t="shared" si="10"/>
        <v/>
      </c>
      <c r="S16" t="str">
        <f t="shared" si="11"/>
        <v/>
      </c>
      <c r="T16" t="str">
        <f t="shared" si="12"/>
        <v/>
      </c>
    </row>
    <row r="17" spans="1:41" x14ac:dyDescent="0.25">
      <c r="A17" s="7" t="s">
        <v>37</v>
      </c>
      <c r="C17" s="2">
        <f>C$4*SIN(C$10)*C$12</f>
        <v>2.2828767127977971</v>
      </c>
      <c r="D17" s="2" t="s">
        <v>1</v>
      </c>
      <c r="E17" s="5">
        <f t="shared" ref="E17" si="24">IFERROR(C17*25.4,0)</f>
        <v>57.985068505064042</v>
      </c>
      <c r="F17" s="5" t="s">
        <v>2</v>
      </c>
      <c r="H17" s="11">
        <v>13</v>
      </c>
      <c r="I17" s="2" t="str">
        <f t="shared" si="14"/>
        <v/>
      </c>
      <c r="J17" s="2" t="str">
        <f t="shared" si="15"/>
        <v/>
      </c>
      <c r="K17" s="2" t="str">
        <f t="shared" si="16"/>
        <v/>
      </c>
      <c r="L17" s="2" t="str">
        <f t="shared" si="17"/>
        <v/>
      </c>
      <c r="M17" s="17" t="str">
        <f t="shared" si="18"/>
        <v/>
      </c>
      <c r="N17" s="18" t="str">
        <f t="shared" si="19"/>
        <v/>
      </c>
      <c r="O17" s="18" t="str">
        <f t="shared" si="20"/>
        <v/>
      </c>
      <c r="P17" s="18" t="str">
        <f t="shared" si="21"/>
        <v/>
      </c>
      <c r="Q17" s="19" t="str">
        <f t="shared" si="9"/>
        <v/>
      </c>
      <c r="R17" t="str">
        <f t="shared" si="10"/>
        <v/>
      </c>
      <c r="S17" t="str">
        <f t="shared" si="11"/>
        <v/>
      </c>
      <c r="T17" t="str">
        <f t="shared" si="12"/>
        <v/>
      </c>
    </row>
    <row r="18" spans="1:41" x14ac:dyDescent="0.25">
      <c r="H18" s="11">
        <v>14</v>
      </c>
      <c r="I18" s="2" t="str">
        <f t="shared" si="14"/>
        <v/>
      </c>
      <c r="J18" s="2" t="str">
        <f t="shared" si="15"/>
        <v/>
      </c>
      <c r="K18" s="2" t="str">
        <f t="shared" si="16"/>
        <v/>
      </c>
      <c r="L18" s="2" t="str">
        <f t="shared" si="17"/>
        <v/>
      </c>
      <c r="M18" s="17" t="str">
        <f t="shared" si="18"/>
        <v/>
      </c>
      <c r="N18" s="18" t="str">
        <f t="shared" si="19"/>
        <v/>
      </c>
      <c r="O18" s="18" t="str">
        <f t="shared" si="20"/>
        <v/>
      </c>
      <c r="P18" s="18" t="str">
        <f t="shared" si="21"/>
        <v/>
      </c>
      <c r="Q18" s="19" t="str">
        <f t="shared" si="9"/>
        <v/>
      </c>
      <c r="R18" t="str">
        <f t="shared" si="10"/>
        <v/>
      </c>
      <c r="S18" t="str">
        <f t="shared" si="11"/>
        <v/>
      </c>
      <c r="T18" t="str">
        <f t="shared" si="12"/>
        <v/>
      </c>
    </row>
    <row r="19" spans="1:41" x14ac:dyDescent="0.25">
      <c r="A19" t="s">
        <v>18</v>
      </c>
      <c r="B19" s="3" t="s">
        <v>32</v>
      </c>
      <c r="C19" s="2">
        <f>C$4*SIN(C$10)+C$5</f>
        <v>0.75547945213296619</v>
      </c>
      <c r="D19" s="2" t="s">
        <v>1</v>
      </c>
      <c r="E19" s="5">
        <f>IFERROR(C19*25.4,0)</f>
        <v>19.189178084177339</v>
      </c>
      <c r="F19" s="5" t="s">
        <v>2</v>
      </c>
      <c r="H19" s="11">
        <v>15</v>
      </c>
      <c r="I19" s="2" t="str">
        <f t="shared" si="14"/>
        <v/>
      </c>
      <c r="J19" s="2" t="str">
        <f t="shared" si="15"/>
        <v/>
      </c>
      <c r="K19" s="2" t="str">
        <f t="shared" si="16"/>
        <v/>
      </c>
      <c r="L19" s="2" t="str">
        <f t="shared" si="17"/>
        <v/>
      </c>
      <c r="M19" s="17" t="str">
        <f t="shared" si="18"/>
        <v/>
      </c>
      <c r="N19" s="18" t="str">
        <f t="shared" si="19"/>
        <v/>
      </c>
      <c r="O19" s="18" t="str">
        <f t="shared" si="20"/>
        <v/>
      </c>
      <c r="P19" s="18" t="str">
        <f t="shared" si="21"/>
        <v/>
      </c>
      <c r="Q19" s="19" t="str">
        <f t="shared" si="9"/>
        <v/>
      </c>
      <c r="R19" t="str">
        <f t="shared" si="10"/>
        <v/>
      </c>
      <c r="S19" t="str">
        <f t="shared" si="11"/>
        <v/>
      </c>
      <c r="T19" t="str">
        <f t="shared" si="12"/>
        <v/>
      </c>
    </row>
    <row r="20" spans="1:41" x14ac:dyDescent="0.25">
      <c r="A20" t="s">
        <v>28</v>
      </c>
      <c r="B20" s="3" t="s">
        <v>31</v>
      </c>
      <c r="C20" s="2">
        <f>C$4*COS(C$10)*C$12+C$5</f>
        <v>13.680580555322098</v>
      </c>
      <c r="D20" s="2" t="s">
        <v>1</v>
      </c>
      <c r="E20" s="5">
        <f>IFERROR(C20*25.4,0)</f>
        <v>347.48674610518128</v>
      </c>
      <c r="F20" s="5" t="s">
        <v>2</v>
      </c>
      <c r="H20" s="11">
        <v>16</v>
      </c>
      <c r="I20" s="2" t="str">
        <f t="shared" si="14"/>
        <v/>
      </c>
      <c r="J20" s="2" t="str">
        <f t="shared" si="15"/>
        <v/>
      </c>
      <c r="K20" s="2" t="str">
        <f t="shared" si="16"/>
        <v/>
      </c>
      <c r="L20" s="2" t="str">
        <f t="shared" si="17"/>
        <v/>
      </c>
      <c r="M20" s="17" t="str">
        <f t="shared" si="18"/>
        <v/>
      </c>
      <c r="N20" s="18" t="str">
        <f t="shared" si="19"/>
        <v/>
      </c>
      <c r="O20" s="18" t="str">
        <f t="shared" si="20"/>
        <v/>
      </c>
      <c r="P20" s="18" t="str">
        <f t="shared" si="21"/>
        <v/>
      </c>
      <c r="Q20" s="19" t="str">
        <f t="shared" si="9"/>
        <v/>
      </c>
      <c r="R20" t="str">
        <f t="shared" si="10"/>
        <v/>
      </c>
      <c r="S20" t="str">
        <f t="shared" si="11"/>
        <v/>
      </c>
      <c r="T20" t="str">
        <f t="shared" si="12"/>
        <v/>
      </c>
    </row>
    <row r="21" spans="1:41" x14ac:dyDescent="0.25">
      <c r="A21" s="7" t="s">
        <v>35</v>
      </c>
      <c r="C21" s="2">
        <f>C$4*SIN(C$10)</f>
        <v>0.38047945213296619</v>
      </c>
      <c r="D21" s="2" t="s">
        <v>1</v>
      </c>
      <c r="E21" s="5">
        <f>IFERROR(C21*25.4,0)</f>
        <v>9.6641780841773404</v>
      </c>
      <c r="F21" s="5" t="s">
        <v>2</v>
      </c>
      <c r="H21" s="11">
        <v>17</v>
      </c>
      <c r="I21" s="2" t="str">
        <f t="shared" si="14"/>
        <v/>
      </c>
      <c r="J21" s="2" t="str">
        <f t="shared" si="15"/>
        <v/>
      </c>
      <c r="K21" s="2" t="str">
        <f t="shared" si="16"/>
        <v/>
      </c>
      <c r="L21" s="2" t="str">
        <f t="shared" si="17"/>
        <v/>
      </c>
      <c r="M21" s="17" t="str">
        <f t="shared" si="18"/>
        <v/>
      </c>
      <c r="N21" s="18" t="str">
        <f t="shared" si="19"/>
        <v/>
      </c>
      <c r="O21" s="18" t="str">
        <f t="shared" si="20"/>
        <v/>
      </c>
      <c r="P21" s="18" t="str">
        <f t="shared" si="21"/>
        <v/>
      </c>
      <c r="Q21" s="19" t="str">
        <f t="shared" si="9"/>
        <v/>
      </c>
      <c r="R21" t="str">
        <f t="shared" si="10"/>
        <v/>
      </c>
      <c r="S21" t="str">
        <f t="shared" si="11"/>
        <v/>
      </c>
      <c r="T21" t="str">
        <f t="shared" si="12"/>
        <v/>
      </c>
    </row>
    <row r="22" spans="1:41" x14ac:dyDescent="0.25">
      <c r="A22" s="7" t="s">
        <v>36</v>
      </c>
      <c r="C22" s="2">
        <f>C$4*COS(C$10)*C$12</f>
        <v>13.305580555322098</v>
      </c>
      <c r="D22" s="2" t="s">
        <v>1</v>
      </c>
      <c r="E22" s="5">
        <f>IFERROR(C22*25.4,0)</f>
        <v>337.96174610518131</v>
      </c>
      <c r="F22" s="5" t="s">
        <v>2</v>
      </c>
      <c r="H22" s="11">
        <v>18</v>
      </c>
      <c r="I22" s="2" t="str">
        <f t="shared" si="14"/>
        <v/>
      </c>
      <c r="J22" s="2" t="str">
        <f t="shared" si="15"/>
        <v/>
      </c>
      <c r="K22" s="2" t="str">
        <f t="shared" si="16"/>
        <v/>
      </c>
      <c r="L22" s="2" t="str">
        <f t="shared" si="17"/>
        <v/>
      </c>
      <c r="M22" s="17" t="str">
        <f t="shared" si="18"/>
        <v/>
      </c>
      <c r="N22" s="18" t="str">
        <f t="shared" si="19"/>
        <v/>
      </c>
      <c r="O22" s="18" t="str">
        <f t="shared" si="20"/>
        <v/>
      </c>
      <c r="P22" s="18" t="str">
        <f t="shared" si="21"/>
        <v/>
      </c>
      <c r="Q22" s="19" t="str">
        <f t="shared" si="9"/>
        <v/>
      </c>
      <c r="R22" t="str">
        <f t="shared" si="10"/>
        <v/>
      </c>
      <c r="S22" t="str">
        <f t="shared" si="11"/>
        <v/>
      </c>
      <c r="T22" t="str">
        <f t="shared" si="12"/>
        <v/>
      </c>
    </row>
    <row r="23" spans="1:41" x14ac:dyDescent="0.25">
      <c r="H23" s="11">
        <v>19</v>
      </c>
      <c r="I23" s="2" t="str">
        <f t="shared" si="14"/>
        <v/>
      </c>
      <c r="J23" s="2" t="str">
        <f t="shared" si="15"/>
        <v/>
      </c>
      <c r="K23" s="2" t="str">
        <f t="shared" si="16"/>
        <v/>
      </c>
      <c r="L23" s="2" t="str">
        <f t="shared" si="17"/>
        <v/>
      </c>
      <c r="M23" s="17" t="str">
        <f t="shared" si="18"/>
        <v/>
      </c>
      <c r="N23" s="18" t="str">
        <f t="shared" si="19"/>
        <v/>
      </c>
      <c r="O23" s="18" t="str">
        <f t="shared" si="20"/>
        <v/>
      </c>
      <c r="P23" s="18" t="str">
        <f t="shared" si="21"/>
        <v/>
      </c>
      <c r="Q23" s="19" t="str">
        <f t="shared" si="9"/>
        <v/>
      </c>
      <c r="R23" t="str">
        <f t="shared" si="10"/>
        <v/>
      </c>
      <c r="S23" t="str">
        <f t="shared" si="11"/>
        <v/>
      </c>
      <c r="T23" t="str">
        <f t="shared" si="12"/>
        <v/>
      </c>
    </row>
    <row r="24" spans="1:41" x14ac:dyDescent="0.25">
      <c r="A24" t="s">
        <v>115</v>
      </c>
      <c r="B24" s="3" t="s">
        <v>21</v>
      </c>
      <c r="C24" s="6">
        <f>C20-C15</f>
        <v>11.022703842524301</v>
      </c>
      <c r="D24" s="6" t="s">
        <v>1</v>
      </c>
      <c r="E24" s="8">
        <f>IFERROR(C24*25.4,0)</f>
        <v>279.97667760011723</v>
      </c>
      <c r="F24" s="8" t="s">
        <v>2</v>
      </c>
      <c r="H24" s="11">
        <v>20</v>
      </c>
      <c r="I24" s="2" t="str">
        <f t="shared" si="14"/>
        <v/>
      </c>
      <c r="J24" s="2" t="str">
        <f t="shared" si="15"/>
        <v/>
      </c>
      <c r="K24" s="2" t="str">
        <f t="shared" si="16"/>
        <v/>
      </c>
      <c r="L24" s="2" t="str">
        <f t="shared" si="17"/>
        <v/>
      </c>
      <c r="M24" s="17" t="str">
        <f t="shared" si="18"/>
        <v/>
      </c>
      <c r="N24" s="18" t="str">
        <f t="shared" si="19"/>
        <v/>
      </c>
      <c r="O24" s="18" t="str">
        <f t="shared" si="20"/>
        <v/>
      </c>
      <c r="P24" s="18" t="str">
        <f t="shared" si="21"/>
        <v/>
      </c>
      <c r="Q24" s="19" t="str">
        <f t="shared" si="9"/>
        <v/>
      </c>
      <c r="R24" t="str">
        <f t="shared" si="10"/>
        <v/>
      </c>
      <c r="S24" t="str">
        <f t="shared" si="11"/>
        <v/>
      </c>
      <c r="T24" t="str">
        <f t="shared" si="12"/>
        <v/>
      </c>
    </row>
    <row r="25" spans="1:41" x14ac:dyDescent="0.25">
      <c r="A25" t="s">
        <v>116</v>
      </c>
      <c r="B25" s="3" t="s">
        <v>64</v>
      </c>
      <c r="C25" s="6">
        <f>r_z_1-e_z_1</f>
        <v>0.91855865354369171</v>
      </c>
      <c r="D25" s="6" t="s">
        <v>1</v>
      </c>
      <c r="E25" s="8">
        <f>IFERROR(C25*25.4,0)</f>
        <v>23.331389800009767</v>
      </c>
      <c r="F25" s="8" t="s">
        <v>2</v>
      </c>
      <c r="H25" s="44"/>
      <c r="I25" s="2"/>
      <c r="J25" s="2"/>
      <c r="K25" s="2"/>
      <c r="L25" s="2"/>
      <c r="M25" s="18"/>
      <c r="N25" s="18"/>
      <c r="O25" s="18"/>
      <c r="P25" s="18"/>
      <c r="Q25" s="44"/>
    </row>
    <row r="26" spans="1:41" x14ac:dyDescent="0.25">
      <c r="A26" t="s">
        <v>26</v>
      </c>
      <c r="B26" s="3" t="s">
        <v>27</v>
      </c>
      <c r="C26" s="6">
        <f>C20/C15</f>
        <v>5.1471840245446607</v>
      </c>
      <c r="D26" s="6" t="s">
        <v>33</v>
      </c>
    </row>
    <row r="27" spans="1:41" x14ac:dyDescent="0.25">
      <c r="A27" t="s">
        <v>113</v>
      </c>
      <c r="B27" s="3" t="s">
        <v>41</v>
      </c>
      <c r="C27" s="2">
        <f>C12*3+2</f>
        <v>20</v>
      </c>
      <c r="D27" s="2" t="s">
        <v>42</v>
      </c>
    </row>
    <row r="29" spans="1:41" x14ac:dyDescent="0.25">
      <c r="A29" t="s">
        <v>45</v>
      </c>
      <c r="B29" s="3" t="s">
        <v>47</v>
      </c>
      <c r="C29">
        <v>0.375</v>
      </c>
      <c r="D29" t="s">
        <v>1</v>
      </c>
      <c r="E29" s="1">
        <f>IFERROR(C29*25.4,0)</f>
        <v>9.5249999999999986</v>
      </c>
      <c r="F29" s="1" t="s">
        <v>2</v>
      </c>
    </row>
    <row r="30" spans="1:41" x14ac:dyDescent="0.25">
      <c r="A30" t="s">
        <v>46</v>
      </c>
      <c r="B30" s="3" t="s">
        <v>48</v>
      </c>
      <c r="C30">
        <v>0.375</v>
      </c>
      <c r="D30" t="s">
        <v>1</v>
      </c>
      <c r="E30" s="1">
        <f t="shared" ref="E30:E31" si="25">IFERROR(C30*25.4,0)</f>
        <v>9.5249999999999986</v>
      </c>
      <c r="F30" s="1" t="s">
        <v>2</v>
      </c>
    </row>
    <row r="31" spans="1:41" x14ac:dyDescent="0.25">
      <c r="A31" s="7" t="s">
        <v>49</v>
      </c>
      <c r="B31" s="20" t="s">
        <v>50</v>
      </c>
      <c r="C31" s="7">
        <v>0.375</v>
      </c>
      <c r="D31" s="7" t="s">
        <v>1</v>
      </c>
      <c r="E31" s="21">
        <f t="shared" si="25"/>
        <v>9.5249999999999986</v>
      </c>
      <c r="F31" s="21" t="s">
        <v>2</v>
      </c>
    </row>
    <row r="32" spans="1:41" x14ac:dyDescent="0.25">
      <c r="U32" s="9" t="s">
        <v>114</v>
      </c>
      <c r="AO32" s="9" t="s">
        <v>114</v>
      </c>
    </row>
    <row r="33" spans="1:48" x14ac:dyDescent="0.25">
      <c r="A33" t="s">
        <v>51</v>
      </c>
      <c r="B33" s="3" t="s">
        <v>54</v>
      </c>
      <c r="C33">
        <v>5.0000000000000001E-4</v>
      </c>
      <c r="D33" t="s">
        <v>1</v>
      </c>
      <c r="E33" s="1">
        <f>IFERROR(C33*25.4,0)</f>
        <v>1.2699999999999999E-2</v>
      </c>
      <c r="F33" s="1" t="s">
        <v>2</v>
      </c>
      <c r="H33" s="11"/>
      <c r="I33" s="39" t="s">
        <v>71</v>
      </c>
      <c r="J33" s="40"/>
      <c r="K33" s="40"/>
      <c r="L33" s="40"/>
      <c r="M33" s="41"/>
      <c r="N33" s="39" t="s">
        <v>77</v>
      </c>
      <c r="O33" s="40"/>
      <c r="P33" s="40"/>
      <c r="Q33" s="40"/>
      <c r="R33" s="41"/>
      <c r="S33" s="39" t="s">
        <v>78</v>
      </c>
      <c r="T33" s="40"/>
      <c r="U33" s="40"/>
      <c r="V33" s="40"/>
      <c r="W33" s="41"/>
      <c r="X33" s="39" t="s">
        <v>79</v>
      </c>
      <c r="Y33" s="40"/>
      <c r="Z33" s="40"/>
      <c r="AA33" s="40"/>
      <c r="AB33" s="41"/>
      <c r="AC33" s="39" t="s">
        <v>71</v>
      </c>
      <c r="AD33" s="40"/>
      <c r="AE33" s="40"/>
      <c r="AF33" s="40"/>
      <c r="AG33" s="41"/>
      <c r="AH33" s="39" t="s">
        <v>77</v>
      </c>
      <c r="AI33" s="40"/>
      <c r="AJ33" s="40"/>
      <c r="AK33" s="40"/>
      <c r="AL33" s="41"/>
      <c r="AM33" s="39" t="s">
        <v>78</v>
      </c>
      <c r="AN33" s="40"/>
      <c r="AO33" s="40"/>
      <c r="AP33" s="40"/>
      <c r="AQ33" s="41"/>
      <c r="AR33" s="39" t="s">
        <v>79</v>
      </c>
      <c r="AS33" s="40"/>
      <c r="AT33" s="40"/>
      <c r="AU33" s="40"/>
      <c r="AV33" s="41"/>
    </row>
    <row r="34" spans="1:48" x14ac:dyDescent="0.25">
      <c r="A34" t="s">
        <v>52</v>
      </c>
      <c r="B34" s="3" t="s">
        <v>53</v>
      </c>
      <c r="C34">
        <f>C7+C33</f>
        <v>0.188</v>
      </c>
      <c r="D34" t="s">
        <v>1</v>
      </c>
      <c r="E34" s="1">
        <f>IFERROR(C34*25.4,0)</f>
        <v>4.7751999999999999</v>
      </c>
      <c r="F34" s="1" t="s">
        <v>2</v>
      </c>
      <c r="H34" s="13" t="s">
        <v>40</v>
      </c>
      <c r="I34" s="22" t="s">
        <v>72</v>
      </c>
      <c r="J34" s="23" t="s">
        <v>73</v>
      </c>
      <c r="K34" s="23" t="s">
        <v>74</v>
      </c>
      <c r="L34" s="24" t="s">
        <v>75</v>
      </c>
      <c r="M34" s="24" t="s">
        <v>76</v>
      </c>
      <c r="N34" s="22" t="s">
        <v>72</v>
      </c>
      <c r="O34" s="23" t="s">
        <v>73</v>
      </c>
      <c r="P34" s="23" t="s">
        <v>74</v>
      </c>
      <c r="Q34" s="24" t="s">
        <v>75</v>
      </c>
      <c r="R34" s="24" t="s">
        <v>76</v>
      </c>
      <c r="S34" s="22" t="s">
        <v>72</v>
      </c>
      <c r="T34" s="23" t="s">
        <v>73</v>
      </c>
      <c r="U34" s="23" t="s">
        <v>74</v>
      </c>
      <c r="V34" s="24" t="s">
        <v>75</v>
      </c>
      <c r="W34" s="24" t="s">
        <v>76</v>
      </c>
      <c r="X34" s="22" t="s">
        <v>72</v>
      </c>
      <c r="Y34" s="23" t="s">
        <v>73</v>
      </c>
      <c r="Z34" s="23" t="s">
        <v>74</v>
      </c>
      <c r="AA34" s="24" t="s">
        <v>75</v>
      </c>
      <c r="AB34" s="24" t="s">
        <v>76</v>
      </c>
      <c r="AC34" s="22" t="s">
        <v>72</v>
      </c>
      <c r="AD34" s="23" t="s">
        <v>73</v>
      </c>
      <c r="AE34" s="23" t="s">
        <v>74</v>
      </c>
      <c r="AF34" s="24" t="s">
        <v>75</v>
      </c>
      <c r="AG34" s="24" t="s">
        <v>76</v>
      </c>
      <c r="AH34" s="22" t="s">
        <v>72</v>
      </c>
      <c r="AI34" s="23" t="s">
        <v>73</v>
      </c>
      <c r="AJ34" s="23" t="s">
        <v>74</v>
      </c>
      <c r="AK34" s="24" t="s">
        <v>75</v>
      </c>
      <c r="AL34" s="24" t="s">
        <v>76</v>
      </c>
      <c r="AM34" s="22" t="s">
        <v>72</v>
      </c>
      <c r="AN34" s="23" t="s">
        <v>73</v>
      </c>
      <c r="AO34" s="23" t="s">
        <v>74</v>
      </c>
      <c r="AP34" s="24" t="s">
        <v>75</v>
      </c>
      <c r="AQ34" s="24" t="s">
        <v>76</v>
      </c>
      <c r="AR34" s="22" t="s">
        <v>72</v>
      </c>
      <c r="AS34" s="23" t="s">
        <v>73</v>
      </c>
      <c r="AT34" s="23" t="s">
        <v>74</v>
      </c>
      <c r="AU34" s="24" t="s">
        <v>75</v>
      </c>
      <c r="AV34" s="24" t="s">
        <v>76</v>
      </c>
    </row>
    <row r="35" spans="1:48" x14ac:dyDescent="0.25">
      <c r="H35">
        <v>0</v>
      </c>
      <c r="I35">
        <f>IF($H35&lt;=$C$12,H35*MIN($C$36,$C$44),"")</f>
        <v>0</v>
      </c>
      <c r="J35">
        <f>IF($H35&lt;=$C$12,0,"")</f>
        <v>0</v>
      </c>
      <c r="K35">
        <f>IF($H35&lt;=$C$12,0,"")</f>
        <v>0</v>
      </c>
      <c r="L35">
        <f>IF($H35&lt;=$C$12,0,"")</f>
        <v>0</v>
      </c>
      <c r="M35">
        <f>IF($H35&lt;=$C$12,0,"")</f>
        <v>0</v>
      </c>
      <c r="N35">
        <f>IF($H35&lt;=$C$12,M35*MIN($C$36,$C$45),"")</f>
        <v>0</v>
      </c>
      <c r="O35">
        <f>IF($H35&lt;=$C$12,0,"")</f>
        <v>0</v>
      </c>
      <c r="P35">
        <f>IF($H35&lt;=$C$12,0,"")</f>
        <v>0</v>
      </c>
      <c r="Q35">
        <f>IF($H35&lt;=$C$12,0,"")</f>
        <v>0</v>
      </c>
      <c r="R35">
        <f>IF($H35&lt;=$C$12,0,"")</f>
        <v>0</v>
      </c>
      <c r="S35">
        <f>IF($H35&lt;=$C$12,R35*MIN($C$36,$C$44),"")</f>
        <v>0</v>
      </c>
      <c r="T35">
        <f>IF($H35&lt;=$C$12,0,"")</f>
        <v>0</v>
      </c>
      <c r="U35">
        <f>IF($H35&lt;=$C$12,0,"")</f>
        <v>0</v>
      </c>
      <c r="V35">
        <f>IF($H35&lt;=$C$12,0,"")</f>
        <v>0</v>
      </c>
      <c r="W35">
        <f>IF($H35&lt;=$C$12,0,"")</f>
        <v>0</v>
      </c>
      <c r="X35">
        <f>IF($H35&lt;=$C$12,W35*MIN($C$36,$C$45),"")</f>
        <v>0</v>
      </c>
      <c r="Y35">
        <f>IF($H35&lt;=$C$12,0,"")</f>
        <v>0</v>
      </c>
      <c r="Z35">
        <f>IF($H35&lt;=$C$12,0,"")</f>
        <v>0</v>
      </c>
      <c r="AA35">
        <f>IF($H35&lt;=$C$12,0,"")</f>
        <v>0</v>
      </c>
      <c r="AB35">
        <f>IF($H35&lt;=$C$12,0,"")</f>
        <v>0</v>
      </c>
      <c r="AC35">
        <f>IF($H35&lt;=$C$12,AB35*MIN($C$36,$C$44),"")</f>
        <v>0</v>
      </c>
      <c r="AD35">
        <f>IF($H35&lt;=$C$12,0,"")</f>
        <v>0</v>
      </c>
      <c r="AE35">
        <f>IF($H35&lt;=$C$12,0,"")</f>
        <v>0</v>
      </c>
      <c r="AF35">
        <f>IF($H35&lt;=$C$12,0,"")</f>
        <v>0</v>
      </c>
      <c r="AG35">
        <f>IF($H35&lt;=$C$12,0,"")</f>
        <v>0</v>
      </c>
      <c r="AH35">
        <f>IF($H35&lt;=$C$12,AG35*MIN($C$36,$C$45),"")</f>
        <v>0</v>
      </c>
      <c r="AI35">
        <f>IF($H35&lt;=$C$12,0,"")</f>
        <v>0</v>
      </c>
      <c r="AJ35">
        <f>IF($H35&lt;=$C$12,0,"")</f>
        <v>0</v>
      </c>
      <c r="AK35">
        <f>IF($H35&lt;=$C$12,0,"")</f>
        <v>0</v>
      </c>
      <c r="AL35">
        <f>IF($H35&lt;=$C$12,0,"")</f>
        <v>0</v>
      </c>
      <c r="AM35">
        <f>IF($H35&lt;=$C$12,AL35*MIN($C$36,$C$44),"")</f>
        <v>0</v>
      </c>
      <c r="AN35">
        <f>IF($H35&lt;=$C$12,0,"")</f>
        <v>0</v>
      </c>
      <c r="AO35">
        <f>IF($H35&lt;=$C$12,0,"")</f>
        <v>0</v>
      </c>
      <c r="AP35">
        <f>IF($H35&lt;=$C$12,0,"")</f>
        <v>0</v>
      </c>
      <c r="AQ35">
        <f>IF($H35&lt;=$C$12,0,"")</f>
        <v>0</v>
      </c>
      <c r="AR35">
        <f>IF($H35&lt;=$C$12,AQ35*MIN($C$36,$E$45),"")</f>
        <v>0</v>
      </c>
      <c r="AS35">
        <f>IF($H35&lt;=$C$12,0,"")</f>
        <v>0</v>
      </c>
      <c r="AT35">
        <f>IF($H35&lt;=$C$12,0,"")</f>
        <v>0</v>
      </c>
      <c r="AU35">
        <f>IF($H35&lt;=$C$12,0,"")</f>
        <v>0</v>
      </c>
      <c r="AV35">
        <f>IF($H35&lt;=$C$12,0,"")</f>
        <v>0</v>
      </c>
    </row>
    <row r="36" spans="1:48" x14ac:dyDescent="0.25">
      <c r="A36" t="s">
        <v>56</v>
      </c>
      <c r="B36" s="3" t="s">
        <v>57</v>
      </c>
      <c r="C36">
        <f>ASIN(C$33/(C$29+C$30))</f>
        <v>6.6666671604939263E-4</v>
      </c>
      <c r="D36" t="s">
        <v>13</v>
      </c>
      <c r="E36">
        <f>DEGREES(C36)</f>
        <v>3.8197189171476659E-2</v>
      </c>
      <c r="F36" t="s">
        <v>12</v>
      </c>
      <c r="H36">
        <v>1</v>
      </c>
      <c r="I36">
        <f>IF($H36&lt;=$C$12,$H36*MIN($C$36,$C$44),"")</f>
        <v>5.3333335861728722E-4</v>
      </c>
      <c r="J36">
        <f>IF($H36&lt;=$C$12,$C$4*COS($C$10)*COS(MIN($C$36,$C$44))+K35*SIN(MIN($C$36,$C$44)),"")</f>
        <v>2.2175964438287883</v>
      </c>
      <c r="K36">
        <f>IF($H36&lt;=$C$12,-$C$4*COS($C$10)*SIN(MIN($C$36,$C$44))+K35*COS(MIN($C$36,$C$44)),"")</f>
        <v>-1.1827182715841865E-3</v>
      </c>
      <c r="L36">
        <f>IF($H36&lt;=$C$12,L35+J36,"")</f>
        <v>2.2175964438287883</v>
      </c>
      <c r="M36">
        <f>IF($H36&lt;=$C$12,M35+K36,"")</f>
        <v>-1.1827182715841865E-3</v>
      </c>
      <c r="N36">
        <f>IF($H36&lt;=$C$12,$H36*MIN($C$36,$C$45),"")</f>
        <v>2.2857143056171048E-4</v>
      </c>
      <c r="O36">
        <f>IF($H36&lt;=$C$12,$C$4*COS($C$10)*COS(MIN($C$36,$C$45))+P35*SIN(MIN($C$36,$C$45)),"")</f>
        <v>2.2175967012912907</v>
      </c>
      <c r="P36">
        <f>IF($H36&lt;=$C$12,-$C$4*COS($C$10)*SIN(MIN($C$36,$C$45))+P35*COS(MIN($C$36,$C$45)),"")</f>
        <v>-5.0687925925036565E-4</v>
      </c>
      <c r="Q36">
        <f>IF($H36&lt;=$C$12,Q35+O36,"")</f>
        <v>2.2175967012912907</v>
      </c>
      <c r="R36">
        <f>IF($H36&lt;=$C$12,R35+P36,"")</f>
        <v>-5.0687925925036565E-4</v>
      </c>
      <c r="S36">
        <f>IF($H36&lt;=$C$12,$H36*MIN($C$36,$C$46),"")</f>
        <v>6.6666671604939263E-4</v>
      </c>
      <c r="T36">
        <f>IF($H36&lt;=$C$12,$C$4*COS($C$10)*COS(MIN($C$36,$C$46))+U35*SIN(MIN($C$36,$C$46)),"")</f>
        <v>2.2175962664210149</v>
      </c>
      <c r="U36">
        <f>IF($H36&lt;=$C$12,-$C$4*COS($C$10)*SIN(MIN($C$36,$C$46))+U35*COS(MIN($C$36,$C$46)),"")</f>
        <v>-1.4783978394802332E-3</v>
      </c>
      <c r="V36">
        <f>IF($H36&lt;=$C$12,V35+T36,"")</f>
        <v>2.2175962664210149</v>
      </c>
      <c r="W36">
        <f>IF($H36&lt;=$C$12,W35+U36,"")</f>
        <v>-1.4783978394802332E-3</v>
      </c>
      <c r="X36">
        <f>IF($H36&lt;=$C$12,$H36*MIN($C$36,$C$47),"")</f>
        <v>4.5714287306511332E-4</v>
      </c>
      <c r="Y36">
        <f>IF($H36&lt;=$C$12,$C$4*COS($C$10)*COS(MIN($C$36,$C$47))+Z35*SIN(MIN($C$36,$C$47)),"")</f>
        <v>2.2175965275041047</v>
      </c>
      <c r="Z36">
        <f>IF($H36&lt;=$C$12,-$C$4*COS($C$10)*SIN(MIN($C$36,$C$47))+Z35*COS(MIN($C$36,$C$47)),"")</f>
        <v>-1.0137585185007313E-3</v>
      </c>
      <c r="AA36">
        <f>IF($H36&lt;=$C$12,AA35+Y36,"")</f>
        <v>2.2175965275041047</v>
      </c>
      <c r="AB36">
        <f>IF($H36&lt;=$C$12,AB35+Z36,"")</f>
        <v>-1.0137585185007313E-3</v>
      </c>
      <c r="AC36">
        <f>IF($H36&lt;=$C$12,$H36*MIN($C$36,$C$44),"")</f>
        <v>5.3333335861728722E-4</v>
      </c>
      <c r="AD36">
        <f>IF($H36&lt;=$C$12,$E$4*COS($C$10)*COS(MIN($C$36,$C$44))+AE35*SIN(MIN($C$36,$C$44)),"")</f>
        <v>56.326949673251214</v>
      </c>
      <c r="AE36">
        <f>IF($H36&lt;=$C$12,-$E$4*COS($C$10)*SIN(MIN($C$36,$C$44))+AE35*COS(MIN($C$36,$C$44)),"")</f>
        <v>-3.0041044098238337E-2</v>
      </c>
      <c r="AF36">
        <f>IF($H36&lt;=$C$12,AF35+AD36,"")</f>
        <v>56.326949673251214</v>
      </c>
      <c r="AG36">
        <f>IF($H36&lt;=$C$12,AG35+AE36,"")</f>
        <v>-3.0041044098238337E-2</v>
      </c>
      <c r="AH36">
        <f>IF($H36&lt;=$C$12,$H36*MIN($C$36,$C$45),"")</f>
        <v>2.2857143056171048E-4</v>
      </c>
      <c r="AI36">
        <f>IF($H36&lt;=$C$12,$E$4*COS($C$10)*COS(MIN($C$36,$C$45))+AJ35*SIN(MIN($C$36,$C$45)),"")</f>
        <v>56.326956212798777</v>
      </c>
      <c r="AJ36">
        <f>IF($H36&lt;=$C$12,-$E$4*COS($C$10)*SIN(MIN($C$36,$C$45))+AJ35*COS(MIN($C$36,$C$45)),"")</f>
        <v>-1.2874733184959287E-2</v>
      </c>
      <c r="AK36">
        <f>IF($H36&lt;=$C$12,AK35+AI36,"")</f>
        <v>56.326956212798777</v>
      </c>
      <c r="AL36">
        <f>IF($H36&lt;=$C$12,AL35+AJ36,"")</f>
        <v>-1.2874733184959287E-2</v>
      </c>
      <c r="AM36">
        <f>IF($H36&lt;=$C$12,$H36*MIN($C$36,$C$46),"")</f>
        <v>6.6666671604939263E-4</v>
      </c>
      <c r="AN36">
        <f>IF($H36&lt;=$C$12,$E$4*COS($C$10)*COS(MIN($C$36,$C$46))+AO35*SIN(MIN($C$36,$C$46)),"")</f>
        <v>56.326945167093776</v>
      </c>
      <c r="AO36">
        <f>IF($H36&lt;=$C$12,-$E$4*COS($C$10)*SIN(MIN($C$36,$C$46))+AO35*COS(MIN($C$36,$C$46)),"")</f>
        <v>-3.7551305122797925E-2</v>
      </c>
      <c r="AP36">
        <f>IF($H36&lt;=$C$12,AP35+AN36,"")</f>
        <v>56.326945167093776</v>
      </c>
      <c r="AQ36">
        <f>IF($H36&lt;=$C$12,AQ35+AO36,"")</f>
        <v>-3.7551305122797925E-2</v>
      </c>
      <c r="AR36">
        <f>IF($H36&lt;=$C$12,$H36*MIN($C$36,$C$47),"")</f>
        <v>4.5714287306511332E-4</v>
      </c>
      <c r="AS36">
        <f>IF($H36&lt;=$C$12,$E$4*COS($C$10)*COS(MIN($C$36,$C$47))+AT35*SIN(MIN($C$36,$C$47)),"")</f>
        <v>56.326951798604256</v>
      </c>
      <c r="AT36">
        <f>IF($H36&lt;=$C$12,-$E$4*COS($C$10)*SIN(MIN($C$36,$C$47))+AT35*COS(MIN($C$36,$C$47)),"")</f>
        <v>-2.5749466369918574E-2</v>
      </c>
      <c r="AU36">
        <f>IF($H36&lt;=$C$12,AU35+AS36,"")</f>
        <v>56.326951798604256</v>
      </c>
      <c r="AV36">
        <f>IF($H36&lt;=$C$12,AV35+AT36,"")</f>
        <v>-2.5749466369918574E-2</v>
      </c>
    </row>
    <row r="37" spans="1:48" x14ac:dyDescent="0.25">
      <c r="A37" s="14" t="s">
        <v>55</v>
      </c>
      <c r="B37" s="9" t="s">
        <v>58</v>
      </c>
      <c r="C37" s="14">
        <f>ASIN(C$33/(C$29+C$30+C$31))</f>
        <v>4.4444445907636162E-4</v>
      </c>
      <c r="D37" s="14" t="s">
        <v>13</v>
      </c>
      <c r="E37" s="14">
        <f>DEGREES(C37)</f>
        <v>2.5464791733050354E-2</v>
      </c>
      <c r="F37" s="14" t="s">
        <v>12</v>
      </c>
      <c r="G37" s="14" t="s">
        <v>114</v>
      </c>
      <c r="H37">
        <v>2</v>
      </c>
      <c r="I37">
        <f>IF($H37&lt;=$C$12,$H37*MIN($C$36,$C$44),"")</f>
        <v>1.0666667172345744E-3</v>
      </c>
      <c r="J37">
        <f>IF($H37&lt;=$C$12,$C$4*COS($C$10)*COS(MIN($C$36,$C$44))+K36*SIN(MIN($C$36,$C$44)),"")</f>
        <v>2.2175958130457101</v>
      </c>
      <c r="K37">
        <f>IF($H37&lt;=$C$12,-$C$4*COS($C$10)*SIN(MIN($C$36,$C$44))+K36*COS(MIN($C$36,$C$44)),"")</f>
        <v>-2.3654363749595403E-3</v>
      </c>
      <c r="L37">
        <f>IF($H6&lt;=$C$12,L36+J37,"")</f>
        <v>4.4351922568744984</v>
      </c>
      <c r="M37">
        <f>IF($H6&lt;=$C$12,M36+K37,"")</f>
        <v>-3.548154646543727E-3</v>
      </c>
      <c r="N37">
        <f>IF($H37&lt;=$C$12,$H37*MIN($C$36,$C$45),"")</f>
        <v>4.5714286112342095E-4</v>
      </c>
      <c r="O37">
        <f>IF($H37&lt;=$C$12,$C$4*COS($C$10)*COS(MIN($C$36,$C$45))+P36*SIN(MIN($C$36,$C$45)),"")</f>
        <v>2.2175965854331743</v>
      </c>
      <c r="P37">
        <f>IF($H37&lt;=$C$12,-$C$4*COS($C$10)*SIN(MIN($C$36,$C$45))+P36*COS(MIN($C$36,$C$45)),"")</f>
        <v>-1.0137585052598036E-3</v>
      </c>
      <c r="Q37">
        <f>IF($H6&lt;=$C$12,Q36+O37,"")</f>
        <v>4.4351932867244646</v>
      </c>
      <c r="R37">
        <f>IF($H6&lt;=$C$12,R36+P37,"")</f>
        <v>-1.5206377645101692E-3</v>
      </c>
      <c r="S37">
        <f>IF($H37&lt;=$C$12,$H37*MIN($C$36,$C$44),"")</f>
        <v>1.0666667172345744E-3</v>
      </c>
      <c r="T37">
        <f>IF($H37&lt;=$C$12,$C$4*COS($C$10)*COS(MIN($C$36,$C$46))+U36*SIN(MIN($C$36,$C$46)),"")</f>
        <v>2.2175952808224553</v>
      </c>
      <c r="U37">
        <f>IF($H37&lt;=$C$12,-$C$4*COS($C$10)*SIN(MIN($C$36,$C$46))+U36*COS(MIN($C$36,$C$46)),"")</f>
        <v>-2.9567953504275766E-3</v>
      </c>
      <c r="V37">
        <f>IF($H6&lt;=$C$12,V36+T37,"")</f>
        <v>4.4351915472434698</v>
      </c>
      <c r="W37">
        <f>IF($H6&lt;=$C$12,W36+U37,"")</f>
        <v>-4.4351931899078096E-3</v>
      </c>
      <c r="X37">
        <f>IF($H37&lt;=$C$12,$H37*MIN($C$36,$C$47),"")</f>
        <v>9.1428574613022665E-4</v>
      </c>
      <c r="Y37">
        <f>IF($H37&lt;=$C$12,$C$4*COS($C$10)*COS(MIN($C$36,$C$47))+Z36*SIN(MIN($C$36,$C$47)),"")</f>
        <v>2.217596064071639</v>
      </c>
      <c r="Z37">
        <f>IF($H37&lt;=$C$12,-$C$4*COS($C$10)*SIN(MIN($C$36,$C$47))+Z36*COS(MIN($C$36,$C$47)),"")</f>
        <v>-2.0275169310740365E-3</v>
      </c>
      <c r="AA37">
        <f>IF($H6&lt;=$C$12,AA36+Y37,"")</f>
        <v>4.4351925915757437</v>
      </c>
      <c r="AB37">
        <f>IF($H6&lt;=$C$12,AB36+Z37,"")</f>
        <v>-3.0412754495747676E-3</v>
      </c>
      <c r="AC37">
        <f>IF($H37&lt;=$C$12,$H37*MIN($C$36,$C$44),"")</f>
        <v>1.0666667172345744E-3</v>
      </c>
      <c r="AD37">
        <f>IF($H37&lt;=$C$12,$E$4*COS($C$10)*COS(MIN($C$36,$C$44))+AE36*SIN(MIN($C$36,$C$44)),"")</f>
        <v>56.326933651361031</v>
      </c>
      <c r="AE37">
        <f>IF($H37&lt;=$C$12,-$E$4*COS($C$10)*SIN(MIN($C$36,$C$44))+AE36*COS(MIN($C$36,$C$44)),"")</f>
        <v>-6.0082083923972324E-2</v>
      </c>
      <c r="AF37">
        <f>IF($H6&lt;=$C$12,AF36+AD37,"")</f>
        <v>112.65388332461225</v>
      </c>
      <c r="AG37">
        <f>IF($H6&lt;=$C$12,AG36+AE37,"")</f>
        <v>-9.0123128022210661E-2</v>
      </c>
      <c r="AH37">
        <f>IF($H37&lt;=$C$12,$H37*MIN($C$36,$C$45),"")</f>
        <v>4.5714286112342095E-4</v>
      </c>
      <c r="AI37">
        <f>IF($H37&lt;=$C$12,$E$4*COS($C$10)*COS(MIN($C$36,$C$45))+AJ36*SIN(MIN($C$36,$C$45)),"")</f>
        <v>56.326953270002619</v>
      </c>
      <c r="AJ37">
        <f>IF($H37&lt;=$C$12,-$E$4*COS($C$10)*SIN(MIN($C$36,$C$45))+AJ36*COS(MIN($C$36,$C$45)),"")</f>
        <v>-2.5749466033599011E-2</v>
      </c>
      <c r="AK37">
        <f>IF($H6&lt;=$C$12,AK36+AI37,"")</f>
        <v>112.6539094828014</v>
      </c>
      <c r="AL37">
        <f>IF($H6&lt;=$C$12,AL36+AJ37,"")</f>
        <v>-3.8624199218558294E-2</v>
      </c>
      <c r="AM37">
        <f>IF($H37&lt;=$C$12,$H37*MIN($C$36,$C$44),"")</f>
        <v>1.0666667172345744E-3</v>
      </c>
      <c r="AN37">
        <f>IF($H37&lt;=$C$12,$E$4*COS($C$10)*COS(MIN($C$36,$C$46))+AO36*SIN(MIN($C$36,$C$46)),"")</f>
        <v>56.326920132890358</v>
      </c>
      <c r="AO37">
        <f>IF($H37&lt;=$C$12,-$E$4*COS($C$10)*SIN(MIN($C$36,$C$46))+AO36*COS(MIN($C$36,$C$46)),"")</f>
        <v>-7.5102601900860447E-2</v>
      </c>
      <c r="AP37">
        <f>IF($H6&lt;=$C$12,AP36+AN37,"")</f>
        <v>112.65386529998413</v>
      </c>
      <c r="AQ37">
        <f>IF($H6&lt;=$C$12,AQ36+AO37,"")</f>
        <v>-0.11265390702365838</v>
      </c>
      <c r="AR37">
        <f>IF($H37&lt;=$C$12,$H37*MIN($C$36,$C$47),"")</f>
        <v>9.1428574613022665E-4</v>
      </c>
      <c r="AS37">
        <f>IF($H37&lt;=$C$12,$E$4*COS($C$10)*COS(MIN($C$36,$C$47))+AT36*SIN(MIN($C$36,$C$47)),"")</f>
        <v>56.326940027419631</v>
      </c>
      <c r="AT37">
        <f>IF($H37&lt;=$C$12,-$E$4*COS($C$10)*SIN(MIN($C$36,$C$47))+AT36*COS(MIN($C$36,$C$47)),"")</f>
        <v>-5.1498930049280522E-2</v>
      </c>
      <c r="AU37">
        <f>IF($H6&lt;=$C$12,AU36+AS37,"")</f>
        <v>112.65389182602388</v>
      </c>
      <c r="AV37">
        <f>IF($H6&lt;=$C$12,AV36+AT37,"")</f>
        <v>-7.7248396419199089E-2</v>
      </c>
    </row>
    <row r="38" spans="1:48" x14ac:dyDescent="0.25">
      <c r="H38">
        <v>3</v>
      </c>
      <c r="I38">
        <f>IF($H38&lt;=$C$12,$H38*MIN($C$36,$C$44),"")</f>
        <v>1.6000000758518615E-3</v>
      </c>
      <c r="J38">
        <f>IF($H38&lt;=$C$12,$C$4*COS($C$10)*COS(MIN($C$36,$C$44))+K37*SIN(MIN($C$36,$C$44)),"")</f>
        <v>2.2175951822627216</v>
      </c>
      <c r="K38">
        <f>IF($H38&lt;=$C$12,-$C$4*COS($C$10)*SIN(MIN($C$36,$C$44))+K37*COS(MIN($C$36,$C$44)),"")</f>
        <v>-3.5481543101260849E-3</v>
      </c>
      <c r="L38">
        <f>IF($H7&lt;=$C$12,L37+J38,"")</f>
        <v>6.6527874391372199</v>
      </c>
      <c r="M38">
        <f>IF($H7&lt;=$C$12,M37+K38,"")</f>
        <v>-7.0963089566698119E-3</v>
      </c>
      <c r="N38">
        <f>IF($H38&lt;=$C$12,$H38*MIN($C$36,$C$45),"")</f>
        <v>6.8571429168513137E-4</v>
      </c>
      <c r="O38">
        <f>IF($H38&lt;=$C$12,$C$4*COS($C$10)*COS(MIN($C$36,$C$45))+P37*SIN(MIN($C$36,$C$45)),"")</f>
        <v>2.217596469575061</v>
      </c>
      <c r="P38">
        <f>IF($H38&lt;=$C$12,-$C$4*COS($C$10)*SIN(MIN($C$36,$C$45))+P37*COS(MIN($C$36,$C$45)),"")</f>
        <v>-1.5206377380283143E-3</v>
      </c>
      <c r="Q38">
        <f>IF($H7&lt;=$C$12,Q37+O38,"")</f>
        <v>6.6527897562995255</v>
      </c>
      <c r="R38">
        <f>IF($H7&lt;=$C$12,R37+P38,"")</f>
        <v>-3.0412755025384835E-3</v>
      </c>
      <c r="S38">
        <f>IF($H38&lt;=$C$12,$H38*MIN($C$36,$C$44),"")</f>
        <v>1.6000000758518615E-3</v>
      </c>
      <c r="T38">
        <f>IF($H38&lt;=$C$12,$C$4*COS($C$10)*COS(MIN($C$36,$C$46))+U37*SIN(MIN($C$36,$C$46)),"")</f>
        <v>2.2175942952241146</v>
      </c>
      <c r="U38">
        <f>IF($H38&lt;=$C$12,-$C$4*COS($C$10)*SIN(MIN($C$36,$C$46))+U37*COS(MIN($C$36,$C$46)),"")</f>
        <v>-4.435192532842103E-3</v>
      </c>
      <c r="V38">
        <f>IF($H7&lt;=$C$12,V37+T38,"")</f>
        <v>6.6527858424675843</v>
      </c>
      <c r="W38">
        <f>IF($H7&lt;=$C$12,W37+U38,"")</f>
        <v>-8.8703857227499135E-3</v>
      </c>
      <c r="X38">
        <f>IF($H38&lt;=$C$12,$H38*MIN($C$36,$C$47),"")</f>
        <v>1.37142861919534E-3</v>
      </c>
      <c r="Y38">
        <f>IF($H38&lt;=$C$12,$C$4*COS($C$10)*COS(MIN($C$36,$C$47))+Z37*SIN(MIN($C$36,$C$47)),"")</f>
        <v>2.2175956006392221</v>
      </c>
      <c r="Z38">
        <f>IF($H38&lt;=$C$12,-$C$4*COS($C$10)*SIN(MIN($C$36,$C$47))+Z37*COS(MIN($C$36,$C$47)),"")</f>
        <v>-3.0412752377199266E-3</v>
      </c>
      <c r="AA38">
        <f>IF($H7&lt;=$C$12,AA37+Y38,"")</f>
        <v>6.6527881922149659</v>
      </c>
      <c r="AB38">
        <f>IF($H7&lt;=$C$12,AB37+Z38,"")</f>
        <v>-6.0825506872946942E-3</v>
      </c>
      <c r="AC38">
        <f>IF($H38&lt;=$C$12,$H38*MIN($C$36,$C$44),"")</f>
        <v>1.6000000758518615E-3</v>
      </c>
      <c r="AD38">
        <f>IF($H38&lt;=$C$12,$E$4*COS($C$10)*COS(MIN($C$36,$C$44))+AE37*SIN(MIN($C$36,$C$44)),"")</f>
        <v>56.326917629473122</v>
      </c>
      <c r="AE38">
        <f>IF($H38&lt;=$C$12,-$E$4*COS($C$10)*SIN(MIN($C$36,$C$44))+AE37*COS(MIN($C$36,$C$44)),"")</f>
        <v>-9.0123119477202557E-2</v>
      </c>
      <c r="AF38">
        <f>IF($H7&lt;=$C$12,AF37+AD38,"")</f>
        <v>168.98080095408537</v>
      </c>
      <c r="AG38">
        <f>IF($H7&lt;=$C$12,AG37+AE38,"")</f>
        <v>-0.1802462474994132</v>
      </c>
      <c r="AH38">
        <f>IF($H38&lt;=$C$12,$H38*MIN($C$36,$C$45),"")</f>
        <v>6.8571429168513137E-4</v>
      </c>
      <c r="AI38">
        <f>IF($H38&lt;=$C$12,$E$4*COS($C$10)*COS(MIN($C$36,$C$45))+AJ37*SIN(MIN($C$36,$C$45)),"")</f>
        <v>56.326950327206539</v>
      </c>
      <c r="AJ38">
        <f>IF($H38&lt;=$C$12,-$E$4*COS($C$10)*SIN(MIN($C$36,$C$45))+AJ37*COS(MIN($C$36,$C$45)),"")</f>
        <v>-3.8624198545919176E-2</v>
      </c>
      <c r="AK38">
        <f>IF($H7&lt;=$C$12,AK37+AI38,"")</f>
        <v>168.98085981000793</v>
      </c>
      <c r="AL38">
        <f>IF($H7&lt;=$C$12,AL37+AJ38,"")</f>
        <v>-7.7248397764477478E-2</v>
      </c>
      <c r="AM38">
        <f>IF($H38&lt;=$C$12,$H38*MIN($C$36,$C$44),"")</f>
        <v>1.6000000758518615E-3</v>
      </c>
      <c r="AN38">
        <f>IF($H38&lt;=$C$12,$E$4*COS($C$10)*COS(MIN($C$36,$C$46))+AO37*SIN(MIN($C$36,$C$46)),"")</f>
        <v>56.326895098692511</v>
      </c>
      <c r="AO38">
        <f>IF($H38&lt;=$C$12,-$E$4*COS($C$10)*SIN(MIN($C$36,$C$46))+AO37*COS(MIN($C$36,$C$46)),"")</f>
        <v>-0.11265389033418943</v>
      </c>
      <c r="AP38">
        <f>IF($H7&lt;=$C$12,AP37+AN38,"")</f>
        <v>168.98076039867664</v>
      </c>
      <c r="AQ38">
        <f>IF($H7&lt;=$C$12,AQ37+AO38,"")</f>
        <v>-0.22530779735784781</v>
      </c>
      <c r="AR38">
        <f>IF($H38&lt;=$C$12,$H38*MIN($C$36,$C$47),"")</f>
        <v>1.37142861919534E-3</v>
      </c>
      <c r="AS38">
        <f>IF($H38&lt;=$C$12,$E$4*COS($C$10)*COS(MIN($C$36,$C$47))+AT37*SIN(MIN($C$36,$C$47)),"")</f>
        <v>56.326928256236236</v>
      </c>
      <c r="AT38">
        <f>IF($H38&lt;=$C$12,-$E$4*COS($C$10)*SIN(MIN($C$36,$C$47))+AT37*COS(MIN($C$36,$C$47)),"")</f>
        <v>-7.7248391038086117E-2</v>
      </c>
      <c r="AU38">
        <f>IF($H7&lt;=$C$12,AU37+AS38,"")</f>
        <v>168.98082008226012</v>
      </c>
      <c r="AV38">
        <f>IF($H7&lt;=$C$12,AV37+AT38,"")</f>
        <v>-0.15449678745728521</v>
      </c>
    </row>
    <row r="39" spans="1:48" x14ac:dyDescent="0.25">
      <c r="A39" t="s">
        <v>59</v>
      </c>
      <c r="B39" s="3" t="s">
        <v>60</v>
      </c>
      <c r="C39">
        <v>1E-4</v>
      </c>
      <c r="D39" t="s">
        <v>1</v>
      </c>
      <c r="E39" s="1">
        <f>IFERROR(C39*25.4,0)</f>
        <v>2.5400000000000002E-3</v>
      </c>
      <c r="F39" s="1" t="s">
        <v>2</v>
      </c>
      <c r="H39">
        <v>4</v>
      </c>
      <c r="I39">
        <f>IF($H39&lt;=$C$12,$H39*MIN($C$36,$C$44),"")</f>
        <v>2.1333334344691489E-3</v>
      </c>
      <c r="J39">
        <f>IF($H39&lt;=$C$12,$C$4*COS($C$10)*COS(MIN($C$36,$C$44))+K38*SIN(MIN($C$36,$C$44)),"")</f>
        <v>2.2175945514798228</v>
      </c>
      <c r="K39">
        <f>IF($H39&lt;=$C$12,-$C$4*COS($C$10)*SIN(MIN($C$36,$C$44))+K38*COS(MIN($C$36,$C$44)),"")</f>
        <v>-4.7308720770838451E-3</v>
      </c>
      <c r="L39">
        <f>IF($H8&lt;=$C$12,L38+J39,"")</f>
        <v>8.8703819906170427</v>
      </c>
      <c r="M39">
        <f>IF($H8&lt;=$C$12,M38+K39,"")</f>
        <v>-1.1827181033753657E-2</v>
      </c>
      <c r="N39">
        <f>IF($H39&lt;=$C$12,$H39*MIN($C$36,$C$45),"")</f>
        <v>9.142857222468419E-4</v>
      </c>
      <c r="O39">
        <f>IF($H39&lt;=$C$12,$C$4*COS($C$10)*COS(MIN($C$36,$C$45))+P38*SIN(MIN($C$36,$C$45)),"")</f>
        <v>2.2175963537169507</v>
      </c>
      <c r="P39">
        <f>IF($H39&lt;=$C$12,-$C$4*COS($C$10)*SIN(MIN($C$36,$C$45))+P38*COS(MIN($C$36,$C$45)),"")</f>
        <v>-2.0275169575558979E-3</v>
      </c>
      <c r="Q39">
        <f>IF($H8&lt;=$C$12,Q38+O39,"")</f>
        <v>8.8703861100164758</v>
      </c>
      <c r="R39">
        <f>IF($H8&lt;=$C$12,R38+P39,"")</f>
        <v>-5.0687924600943818E-3</v>
      </c>
      <c r="S39">
        <f>IF($H39&lt;=$C$12,$H39*MIN($C$36,$C$44),"")</f>
        <v>2.1333334344691489E-3</v>
      </c>
      <c r="T39">
        <f>IF($H39&lt;=$C$12,$C$4*COS($C$10)*COS(MIN($C$36,$C$46))+U38*SIN(MIN($C$36,$C$46)),"")</f>
        <v>2.2175933096259932</v>
      </c>
      <c r="U39">
        <f>IF($H39&lt;=$C$12,-$C$4*COS($C$10)*SIN(MIN($C$36,$C$46))+U38*COS(MIN($C$36,$C$46)),"")</f>
        <v>-5.9135893867238859E-3</v>
      </c>
      <c r="V39">
        <f>IF($H8&lt;=$C$12,V38+T39,"")</f>
        <v>8.8703791520935766</v>
      </c>
      <c r="W39">
        <f>IF($H8&lt;=$C$12,W38+U39,"")</f>
        <v>-1.4783975109473799E-2</v>
      </c>
      <c r="X39">
        <f>IF($H39&lt;=$C$12,$H39*MIN($C$36,$C$47),"")</f>
        <v>1.8285714922604533E-3</v>
      </c>
      <c r="Y39">
        <f>IF($H39&lt;=$C$12,$C$4*COS($C$10)*COS(MIN($C$36,$C$47))+Z38*SIN(MIN($C$36,$C$47)),"")</f>
        <v>2.2175951372068532</v>
      </c>
      <c r="Z39">
        <f>IF($H39&lt;=$C$12,-$C$4*COS($C$10)*SIN(MIN($C$36,$C$47))+Z38*COS(MIN($C$36,$C$47)),"")</f>
        <v>-4.0550334384384127E-3</v>
      </c>
      <c r="AA39">
        <f>IF($H8&lt;=$C$12,AA38+Y39,"")</f>
        <v>8.87038332942182</v>
      </c>
      <c r="AB39">
        <f>IF($H8&lt;=$C$12,AB38+Z39,"")</f>
        <v>-1.0137584125733106E-2</v>
      </c>
      <c r="AC39">
        <f>IF($H39&lt;=$C$12,$H39*MIN($C$36,$C$44),"")</f>
        <v>2.1333334344691489E-3</v>
      </c>
      <c r="AD39">
        <f>IF($H39&lt;=$C$12,$E$4*COS($C$10)*COS(MIN($C$36,$C$44))+AE38*SIN(MIN($C$36,$C$44)),"")</f>
        <v>56.326901607587494</v>
      </c>
      <c r="AE39">
        <f>IF($H39&lt;=$C$12,-$E$4*COS($C$10)*SIN(MIN($C$36,$C$44))+AE38*COS(MIN($C$36,$C$44)),"")</f>
        <v>-0.12016415075792966</v>
      </c>
      <c r="AF39">
        <f>IF($H8&lt;=$C$12,AF38+AD39,"")</f>
        <v>225.30770256167287</v>
      </c>
      <c r="AG39">
        <f>IF($H8&lt;=$C$12,AG38+AE39,"")</f>
        <v>-0.30041039825734284</v>
      </c>
      <c r="AH39">
        <f>IF($H39&lt;=$C$12,$H39*MIN($C$36,$C$45),"")</f>
        <v>9.142857222468419E-4</v>
      </c>
      <c r="AI39">
        <f>IF($H39&lt;=$C$12,$E$4*COS($C$10)*COS(MIN($C$36,$C$45))+AJ38*SIN(MIN($C$36,$C$45)),"")</f>
        <v>56.326947384410538</v>
      </c>
      <c r="AJ39">
        <f>IF($H39&lt;=$C$12,-$E$4*COS($C$10)*SIN(MIN($C$36,$C$45))+AJ38*COS(MIN($C$36,$C$45)),"")</f>
        <v>-5.14989307219198E-2</v>
      </c>
      <c r="AK39">
        <f>IF($H8&lt;=$C$12,AK38+AI39,"")</f>
        <v>225.30780719441847</v>
      </c>
      <c r="AL39">
        <f>IF($H8&lt;=$C$12,AL38+AJ39,"")</f>
        <v>-0.12874732848639728</v>
      </c>
      <c r="AM39">
        <f>IF($H39&lt;=$C$12,$H39*MIN($C$36,$C$44),"")</f>
        <v>2.1333334344691489E-3</v>
      </c>
      <c r="AN39">
        <f>IF($H39&lt;=$C$12,$E$4*COS($C$10)*COS(MIN($C$36,$C$46))+AO38*SIN(MIN($C$36,$C$46)),"")</f>
        <v>56.32687006450022</v>
      </c>
      <c r="AO39">
        <f>IF($H39&lt;=$C$12,-$E$4*COS($C$10)*SIN(MIN($C$36,$C$46))+AO38*COS(MIN($C$36,$C$46)),"")</f>
        <v>-0.15020517042278672</v>
      </c>
      <c r="AP39">
        <f>IF($H8&lt;=$C$12,AP38+AN39,"")</f>
        <v>225.30763046317685</v>
      </c>
      <c r="AQ39">
        <f>IF($H8&lt;=$C$12,AQ38+AO39,"")</f>
        <v>-0.37551296778063453</v>
      </c>
      <c r="AR39">
        <f>IF($H39&lt;=$C$12,$H39*MIN($C$36,$C$47),"")</f>
        <v>1.8285714922604533E-3</v>
      </c>
      <c r="AS39">
        <f>IF($H39&lt;=$C$12,$E$4*COS($C$10)*COS(MIN($C$36,$C$47))+AT38*SIN(MIN($C$36,$C$47)),"")</f>
        <v>56.32691648505407</v>
      </c>
      <c r="AT39">
        <f>IF($H39&lt;=$C$12,-$E$4*COS($C$10)*SIN(MIN($C$36,$C$47))+AT38*COS(MIN($C$36,$C$47)),"")</f>
        <v>-0.10299784933633566</v>
      </c>
      <c r="AU39">
        <f>IF($H8&lt;=$C$12,AU38+AS39,"")</f>
        <v>225.30773656731418</v>
      </c>
      <c r="AV39">
        <f>IF($H8&lt;=$C$12,AV38+AT39,"")</f>
        <v>-0.25749463679362083</v>
      </c>
    </row>
    <row r="40" spans="1:48" x14ac:dyDescent="0.25">
      <c r="A40" t="s">
        <v>61</v>
      </c>
      <c r="B40" s="3" t="s">
        <v>62</v>
      </c>
      <c r="C40">
        <f>(C$6-C$4)/2</f>
        <v>0.1875</v>
      </c>
      <c r="D40" t="s">
        <v>1</v>
      </c>
      <c r="E40" s="1">
        <f t="shared" ref="E40:E42" si="26">IFERROR(C40*25.4,0)</f>
        <v>4.7624999999999993</v>
      </c>
      <c r="F40" s="1" t="s">
        <v>2</v>
      </c>
      <c r="H40">
        <v>5</v>
      </c>
      <c r="I40">
        <f>IF($H40&lt;=$C$12,$H40*MIN($C$36,$C$44),"")</f>
        <v>2.6666667930864362E-3</v>
      </c>
      <c r="J40">
        <f>IF($H40&lt;=$C$12,$C$4*COS($C$10)*COS(MIN($C$36,$C$44))+K39*SIN(MIN($C$36,$C$44)),"")</f>
        <v>2.2175939206970137</v>
      </c>
      <c r="K40">
        <f>IF($H40&lt;=$C$12,-$C$4*COS($C$10)*SIN(MIN($C$36,$C$44))+K39*COS(MIN($C$36,$C$44)),"")</f>
        <v>-5.913589675832844E-3</v>
      </c>
      <c r="L40">
        <f>IF($H9&lt;=$C$12,L39+J40,"")</f>
        <v>11.087975911314057</v>
      </c>
      <c r="M40">
        <f>IF($H9&lt;=$C$12,M39+K40,"")</f>
        <v>-1.77407707095865E-2</v>
      </c>
      <c r="N40">
        <f>IF($H40&lt;=$C$12,$H40*MIN($C$36,$C$45),"")</f>
        <v>1.1428571528085524E-3</v>
      </c>
      <c r="O40">
        <f>IF($H40&lt;=$C$12,$C$4*COS($C$10)*COS(MIN($C$36,$C$45))+P39*SIN(MIN($C$36,$C$45)),"")</f>
        <v>2.2175962378588432</v>
      </c>
      <c r="P40">
        <f>IF($H40&lt;=$C$12,-$C$4*COS($C$10)*SIN(MIN($C$36,$C$45))+P39*COS(MIN($C$36,$C$45)),"")</f>
        <v>-2.5343961638425545E-3</v>
      </c>
      <c r="Q40">
        <f>IF($H9&lt;=$C$12,Q39+O40,"")</f>
        <v>11.087982347875318</v>
      </c>
      <c r="R40">
        <f>IF($H9&lt;=$C$12,R39+P40,"")</f>
        <v>-7.6031886239369363E-3</v>
      </c>
      <c r="S40">
        <f>IF($H40&lt;=$C$12,$H40*MIN($C$36,$C$44),"")</f>
        <v>2.6666667930864362E-3</v>
      </c>
      <c r="T40">
        <f>IF($H40&lt;=$C$12,$C$4*COS($C$10)*COS(MIN($C$36,$C$46))+U39*SIN(MIN($C$36,$C$46)),"")</f>
        <v>2.2175923240280904</v>
      </c>
      <c r="U40">
        <f>IF($H40&lt;=$C$12,-$C$4*COS($C$10)*SIN(MIN($C$36,$C$46))+U39*COS(MIN($C$36,$C$46)),"")</f>
        <v>-7.3919859120729981E-3</v>
      </c>
      <c r="V40">
        <f>IF($H9&lt;=$C$12,V39+T40,"")</f>
        <v>11.087971476121666</v>
      </c>
      <c r="W40">
        <f>IF($H9&lt;=$C$12,W39+U40,"")</f>
        <v>-2.2175961021546797E-2</v>
      </c>
      <c r="X40">
        <f>IF($H40&lt;=$C$12,$H40*MIN($C$36,$C$47),"")</f>
        <v>2.2857143653255666E-3</v>
      </c>
      <c r="Y40">
        <f>IF($H40&lt;=$C$12,$C$4*COS($C$10)*COS(MIN($C$36,$C$47))+Z39*SIN(MIN($C$36,$C$47)),"")</f>
        <v>2.2175946737745327</v>
      </c>
      <c r="Z40">
        <f>IF($H40&lt;=$C$12,-$C$4*COS($C$10)*SIN(MIN($C$36,$C$47))+Z39*COS(MIN($C$36,$C$47)),"")</f>
        <v>-5.0687915332295053E-3</v>
      </c>
      <c r="AA40">
        <f>IF($H9&lt;=$C$12,AA39+Y40,"")</f>
        <v>11.087978003196353</v>
      </c>
      <c r="AB40">
        <f>IF($H9&lt;=$C$12,AB39+Z40,"")</f>
        <v>-1.5206375658962611E-2</v>
      </c>
      <c r="AC40">
        <f>IF($H40&lt;=$C$12,$H40*MIN($C$36,$C$44),"")</f>
        <v>2.6666667930864362E-3</v>
      </c>
      <c r="AD40">
        <f>IF($H40&lt;=$C$12,$E$4*COS($C$10)*COS(MIN($C$36,$C$44))+AE39*SIN(MIN($C$36,$C$44)),"")</f>
        <v>56.32688558570414</v>
      </c>
      <c r="AE40">
        <f>IF($H40&lt;=$C$12,-$E$4*COS($C$10)*SIN(MIN($C$36,$C$44))+AE39*COS(MIN($C$36,$C$44)),"")</f>
        <v>-0.15020517776615422</v>
      </c>
      <c r="AF40">
        <f>IF($H9&lt;=$C$12,AF39+AD40,"")</f>
        <v>281.63458814737703</v>
      </c>
      <c r="AG40">
        <f>IF($H9&lt;=$C$12,AG39+AE40,"")</f>
        <v>-0.45061557602349706</v>
      </c>
      <c r="AH40">
        <f>IF($H40&lt;=$C$12,$H40*MIN($C$36,$C$45),"")</f>
        <v>1.1428571528085524E-3</v>
      </c>
      <c r="AI40">
        <f>IF($H40&lt;=$C$12,$E$4*COS($C$10)*COS(MIN($C$36,$C$45))+AJ39*SIN(MIN($C$36,$C$45)),"")</f>
        <v>56.326944441614614</v>
      </c>
      <c r="AJ40">
        <f>IF($H40&lt;=$C$12,-$E$4*COS($C$10)*SIN(MIN($C$36,$C$45))+AJ39*COS(MIN($C$36,$C$45)),"")</f>
        <v>-6.4373662561600875E-2</v>
      </c>
      <c r="AK40">
        <f>IF($H9&lt;=$C$12,AK39+AI40,"")</f>
        <v>281.63475163603312</v>
      </c>
      <c r="AL40">
        <f>IF($H9&lt;=$C$12,AL39+AJ40,"")</f>
        <v>-0.19312099104799815</v>
      </c>
      <c r="AM40">
        <f>IF($H40&lt;=$C$12,$H40*MIN($C$36,$C$44),"")</f>
        <v>2.6666667930864362E-3</v>
      </c>
      <c r="AN40">
        <f>IF($H40&lt;=$C$12,$E$4*COS($C$10)*COS(MIN($C$36,$C$46))+AO39*SIN(MIN($C$36,$C$46)),"")</f>
        <v>56.326845030313493</v>
      </c>
      <c r="AO40">
        <f>IF($H40&lt;=$C$12,-$E$4*COS($C$10)*SIN(MIN($C$36,$C$46))+AO39*COS(MIN($C$36,$C$46)),"")</f>
        <v>-0.18775644216665416</v>
      </c>
      <c r="AP40">
        <f>IF($H9&lt;=$C$12,AP39+AN40,"")</f>
        <v>281.63447549349036</v>
      </c>
      <c r="AQ40">
        <f>IF($H9&lt;=$C$12,AQ39+AO40,"")</f>
        <v>-0.56326940994728869</v>
      </c>
      <c r="AR40">
        <f>IF($H40&lt;=$C$12,$H40*MIN($C$36,$C$47),"")</f>
        <v>2.2857143653255666E-3</v>
      </c>
      <c r="AS40">
        <f>IF($H40&lt;=$C$12,$E$4*COS($C$10)*COS(MIN($C$36,$C$47))+AT39*SIN(MIN($C$36,$C$47)),"")</f>
        <v>56.326904713873134</v>
      </c>
      <c r="AT40">
        <f>IF($H40&lt;=$C$12,-$E$4*COS($C$10)*SIN(MIN($C$36,$C$47))+AT39*COS(MIN($C$36,$C$47)),"")</f>
        <v>-0.12874730494402942</v>
      </c>
      <c r="AU40">
        <f>IF($H9&lt;=$C$12,AU39+AS40,"")</f>
        <v>281.63464128118733</v>
      </c>
      <c r="AV40">
        <f>IF($H9&lt;=$C$12,AV39+AT40,"")</f>
        <v>-0.38624194173765025</v>
      </c>
    </row>
    <row r="41" spans="1:48" x14ac:dyDescent="0.25">
      <c r="A41" t="s">
        <v>63</v>
      </c>
      <c r="B41" s="3" t="s">
        <v>64</v>
      </c>
      <c r="C41">
        <v>0.25</v>
      </c>
      <c r="D41" t="s">
        <v>1</v>
      </c>
      <c r="E41" s="1">
        <f t="shared" si="26"/>
        <v>6.35</v>
      </c>
      <c r="F41" s="1" t="s">
        <v>2</v>
      </c>
      <c r="H41">
        <v>6</v>
      </c>
      <c r="I41">
        <f>IF($H41&lt;=$C$12,$H41*MIN($C$36,$C$44),"")</f>
        <v>3.2000001517037231E-3</v>
      </c>
      <c r="J41">
        <f>IF($H41&lt;=$C$12,$C$4*COS($C$10)*COS(MIN($C$36,$C$44))+K40*SIN(MIN($C$36,$C$44)),"")</f>
        <v>2.2175932899142947</v>
      </c>
      <c r="K41">
        <f>IF($H41&lt;=$C$12,-$C$4*COS($C$10)*SIN(MIN($C$36,$C$44))+K40*COS(MIN($C$36,$C$44)),"")</f>
        <v>-7.0963071063731061E-3</v>
      </c>
      <c r="L41">
        <f>IF($H10&lt;=$C$12,L40+J41,"")</f>
        <v>13.305569201228352</v>
      </c>
      <c r="M41">
        <f>IF($H10&lt;=$C$12,M40+K41,"")</f>
        <v>-2.4837077815959605E-2</v>
      </c>
      <c r="N41">
        <f>IF($H41&lt;=$C$12,$H41*MIN($C$36,$C$45),"")</f>
        <v>1.3714285833702627E-3</v>
      </c>
      <c r="O41">
        <f>IF($H41&lt;=$C$12,$C$4*COS($C$10)*COS(MIN($C$36,$C$45))+P40*SIN(MIN($C$36,$C$45)),"")</f>
        <v>2.2175961220007392</v>
      </c>
      <c r="P41">
        <f>IF($H41&lt;=$C$12,-$C$4*COS($C$10)*SIN(MIN($C$36,$C$45))+P40*COS(MIN($C$36,$C$45)),"")</f>
        <v>-3.0412753568882845E-3</v>
      </c>
      <c r="Q41">
        <f>IF($H10&lt;=$C$12,Q40+O41,"")</f>
        <v>13.305578469876057</v>
      </c>
      <c r="R41">
        <f>IF($H10&lt;=$C$12,R40+P41,"")</f>
        <v>-1.0644463980825221E-2</v>
      </c>
      <c r="S41">
        <f>IF($H41&lt;=$C$12,$H41*MIN($C$36,$C$44),"")</f>
        <v>3.2000001517037231E-3</v>
      </c>
      <c r="T41">
        <f>IF($H41&lt;=$C$12,$C$4*COS($C$10)*COS(MIN($C$36,$C$46))+U40*SIN(MIN($C$36,$C$46)),"")</f>
        <v>2.2175913384304069</v>
      </c>
      <c r="U41">
        <f>IF($H41&lt;=$C$12,-$C$4*COS($C$10)*SIN(MIN($C$36,$C$46))+U40*COS(MIN($C$36,$C$46)),"")</f>
        <v>-8.8703821088895133E-3</v>
      </c>
      <c r="V41">
        <f>IF($H10&lt;=$C$12,V40+T41,"")</f>
        <v>13.305562814552072</v>
      </c>
      <c r="W41">
        <f>IF($H10&lt;=$C$12,W40+U41,"")</f>
        <v>-3.1046343130436312E-2</v>
      </c>
      <c r="X41">
        <f>IF($H41&lt;=$C$12,$H41*MIN($C$36,$C$47),"")</f>
        <v>2.74285723839068E-3</v>
      </c>
      <c r="Y41">
        <f>IF($H41&lt;=$C$12,$C$4*COS($C$10)*COS(MIN($C$36,$C$47))+Z40*SIN(MIN($C$36,$C$47)),"")</f>
        <v>2.217594210342261</v>
      </c>
      <c r="Z41">
        <f>IF($H41&lt;=$C$12,-$C$4*COS($C$10)*SIN(MIN($C$36,$C$47))+Z40*COS(MIN($C$36,$C$47)),"")</f>
        <v>-6.0825495220932155E-3</v>
      </c>
      <c r="AA41">
        <f>IF($H10&lt;=$C$12,AA40+Y41,"")</f>
        <v>13.305572213538614</v>
      </c>
      <c r="AB41">
        <f>IF($H10&lt;=$C$12,AB40+Z41,"")</f>
        <v>-2.1288925181055827E-2</v>
      </c>
      <c r="AC41">
        <f>IF($H41&lt;=$C$12,$H41*MIN($C$36,$C$44),"")</f>
        <v>3.2000001517037231E-3</v>
      </c>
      <c r="AD41">
        <f>IF($H41&lt;=$C$12,$E$4*COS($C$10)*COS(MIN($C$36,$C$44))+AE40*SIN(MIN($C$36,$C$44)),"")</f>
        <v>56.326869563823074</v>
      </c>
      <c r="AE41">
        <f>IF($H41&lt;=$C$12,-$E$4*COS($C$10)*SIN(MIN($C$36,$C$44))+AE40*COS(MIN($C$36,$C$44)),"")</f>
        <v>-0.18024620050187684</v>
      </c>
      <c r="AF41">
        <f>IF($H10&lt;=$C$12,AF40+AD41,"")</f>
        <v>337.96145771120013</v>
      </c>
      <c r="AG41">
        <f>IF($H10&lt;=$C$12,AG40+AE41,"")</f>
        <v>-0.6308617765253739</v>
      </c>
      <c r="AH41">
        <f>IF($H41&lt;=$C$12,$H41*MIN($C$36,$C$45),"")</f>
        <v>1.3714285833702627E-3</v>
      </c>
      <c r="AI41">
        <f>IF($H41&lt;=$C$12,$E$4*COS($C$10)*COS(MIN($C$36,$C$45))+AJ40*SIN(MIN($C$36,$C$45)),"")</f>
        <v>56.326941498818762</v>
      </c>
      <c r="AJ41">
        <f>IF($H41&lt;=$C$12,-$E$4*COS($C$10)*SIN(MIN($C$36,$C$45))+AJ40*COS(MIN($C$36,$C$45)),"")</f>
        <v>-7.7248394064962422E-2</v>
      </c>
      <c r="AK41">
        <f>IF($H10&lt;=$C$12,AK40+AI41,"")</f>
        <v>337.96169313485188</v>
      </c>
      <c r="AL41">
        <f>IF($H10&lt;=$C$12,AL40+AJ41,"")</f>
        <v>-0.2703693851129606</v>
      </c>
      <c r="AM41">
        <f>IF($H41&lt;=$C$12,$H41*MIN($C$36,$C$44),"")</f>
        <v>3.2000001517037231E-3</v>
      </c>
      <c r="AN41">
        <f>IF($H41&lt;=$C$12,$E$4*COS($C$10)*COS(MIN($C$36,$C$46))+AO40*SIN(MIN($C$36,$C$46)),"")</f>
        <v>56.326819996132329</v>
      </c>
      <c r="AO41">
        <f>IF($H41&lt;=$C$12,-$E$4*COS($C$10)*SIN(MIN($C$36,$C$46))+AO40*COS(MIN($C$36,$C$46)),"")</f>
        <v>-0.22530770556579363</v>
      </c>
      <c r="AP41">
        <f>IF($H10&lt;=$C$12,AP40+AN41,"")</f>
        <v>337.96129548962267</v>
      </c>
      <c r="AQ41">
        <f>IF($H10&lt;=$C$12,AQ40+AO41,"")</f>
        <v>-0.78857711551308229</v>
      </c>
      <c r="AR41">
        <f>IF($H41&lt;=$C$12,$H41*MIN($C$36,$C$47),"")</f>
        <v>2.74285723839068E-3</v>
      </c>
      <c r="AS41">
        <f>IF($H41&lt;=$C$12,$E$4*COS($C$10)*COS(MIN($C$36,$C$47))+AT40*SIN(MIN($C$36,$C$47)),"")</f>
        <v>56.326892942693426</v>
      </c>
      <c r="AT41">
        <f>IF($H41&lt;=$C$12,-$E$4*COS($C$10)*SIN(MIN($C$36,$C$47))+AT40*COS(MIN($C$36,$C$47)),"")</f>
        <v>-0.15449675786116768</v>
      </c>
      <c r="AU41">
        <f>IF($H10&lt;=$C$12,AU40+AS41,"")</f>
        <v>337.96153422388073</v>
      </c>
      <c r="AV41">
        <f>IF($H10&lt;=$C$12,AV40+AT41,"")</f>
        <v>-0.54073869959881793</v>
      </c>
    </row>
    <row r="42" spans="1:48" x14ac:dyDescent="0.25">
      <c r="A42" t="s">
        <v>65</v>
      </c>
      <c r="B42" s="3" t="s">
        <v>66</v>
      </c>
      <c r="C42">
        <f>C40+C41</f>
        <v>0.4375</v>
      </c>
      <c r="D42" t="s">
        <v>1</v>
      </c>
      <c r="E42" s="1">
        <f t="shared" si="26"/>
        <v>11.112499999999999</v>
      </c>
      <c r="F42" s="1" t="s">
        <v>2</v>
      </c>
      <c r="H42">
        <v>7</v>
      </c>
      <c r="I42" t="str">
        <f>IF($H11&lt;=$C$12,H42*MIN(C$36,C$44),"")</f>
        <v/>
      </c>
      <c r="J42" t="str">
        <f>IF($H11&lt;=$C$12,$C$4*COS($C$10)*COS(MIN(C$36,C$44))+K41*SIN(MIN(C$36,C$44)),"")</f>
        <v/>
      </c>
      <c r="K42" t="str">
        <f>IF($H11&lt;=$C$12,-$C$4*COS($C$10)*SIN(MIN(C$36,C$44))+K41*COS(MIN(C$36,C$44)),"")</f>
        <v/>
      </c>
      <c r="L42" t="str">
        <f>IF($H11&lt;=$C$12,L41+J42,"")</f>
        <v/>
      </c>
      <c r="M42" t="str">
        <f>IF($H11&lt;=$C$12,M41+K42,"")</f>
        <v/>
      </c>
    </row>
    <row r="43" spans="1:48" x14ac:dyDescent="0.25">
      <c r="H43">
        <v>8</v>
      </c>
      <c r="I43" t="str">
        <f>IF($H12&lt;=$C$12,H43*MIN(C$36,C$44),"")</f>
        <v/>
      </c>
      <c r="J43" t="str">
        <f>IF($H12&lt;=$C$12,$C$4*COS($C$10)*COS(MIN(C$36,C$44))+K42*SIN(MIN(C$36,C$44)),"")</f>
        <v/>
      </c>
      <c r="K43" t="str">
        <f>IF($H12&lt;=$C$12,-$C$4*COS($C$10)*SIN(MIN(C$36,C$44))+K42*COS(MIN(C$36,C$44)),"")</f>
        <v/>
      </c>
      <c r="L43" t="str">
        <f>IF($H12&lt;=$C$12,L42+J43,"")</f>
        <v/>
      </c>
      <c r="M43" t="str">
        <f>IF($H12&lt;=$C$12,M42+K43,"")</f>
        <v/>
      </c>
    </row>
    <row r="44" spans="1:48" x14ac:dyDescent="0.25">
      <c r="A44" t="s">
        <v>69</v>
      </c>
      <c r="C44">
        <f>ASIN(C$39/C$40)</f>
        <v>5.3333335861728722E-4</v>
      </c>
      <c r="D44" t="s">
        <v>13</v>
      </c>
      <c r="E44">
        <f>DEGREES(C44)</f>
        <v>3.0557750522307754E-2</v>
      </c>
      <c r="F44" t="s">
        <v>12</v>
      </c>
      <c r="H44">
        <v>9</v>
      </c>
      <c r="I44" t="str">
        <f>IF($H13&lt;=$C$12,H44*MIN(C$36,C$44),"")</f>
        <v/>
      </c>
      <c r="J44" t="str">
        <f>IF($H13&lt;=$C$12,$C$4*COS($C$10)*COS(MIN(C$36,C$44))+K43*SIN(MIN(C$36,C$44)),"")</f>
        <v/>
      </c>
      <c r="K44" t="str">
        <f>IF($H13&lt;=$C$12,-$C$4*COS($C$10)*SIN(MIN(C$36,C$44))+K43*COS(MIN(C$36,C$44)),"")</f>
        <v/>
      </c>
      <c r="L44" t="str">
        <f>IF($H13&lt;=$C$12,L43+J44,"")</f>
        <v/>
      </c>
      <c r="M44" t="str">
        <f>IF($H13&lt;=$C$12,M43+K44,"")</f>
        <v/>
      </c>
    </row>
    <row r="45" spans="1:48" x14ac:dyDescent="0.25">
      <c r="A45" t="s">
        <v>70</v>
      </c>
      <c r="C45">
        <f>ASIN(C$39/C$42)</f>
        <v>2.2857143056171048E-4</v>
      </c>
      <c r="D45" t="s">
        <v>13</v>
      </c>
      <c r="E45">
        <f>DEGREES(C45)</f>
        <v>1.309617828845357E-2</v>
      </c>
      <c r="F45" t="s">
        <v>12</v>
      </c>
      <c r="H45">
        <v>10</v>
      </c>
      <c r="I45" t="str">
        <f>IF($H14&lt;=$C$12,H45*MIN(C$36,C$44),"")</f>
        <v/>
      </c>
      <c r="J45" t="str">
        <f>IF($H14&lt;=$C$12,$C$4*COS($C$10)*COS(MIN(C$36,C$44))+K44*SIN(MIN(C$36,C$44)),"")</f>
        <v/>
      </c>
      <c r="K45" t="str">
        <f>IF($H14&lt;=$C$12,-$C$4*COS($C$10)*SIN(MIN(C$36,C$44))+K44*COS(MIN(C$36,C$44)),"")</f>
        <v/>
      </c>
      <c r="L45" t="str">
        <f>IF($H14&lt;=$C$12,L44+J45,"")</f>
        <v/>
      </c>
      <c r="M45" t="str">
        <f>IF($H14&lt;=$C$12,M44+K45,"")</f>
        <v/>
      </c>
    </row>
    <row r="46" spans="1:48" x14ac:dyDescent="0.25">
      <c r="A46" s="14" t="s">
        <v>67</v>
      </c>
      <c r="B46" s="9"/>
      <c r="C46" s="14">
        <f>ASIN(2*C$39/C$40)</f>
        <v>1.0666668689383754E-3</v>
      </c>
      <c r="D46" s="14" t="s">
        <v>13</v>
      </c>
      <c r="E46" s="14">
        <f>DEGREES(C46)</f>
        <v>6.1115509736603041E-2</v>
      </c>
      <c r="F46" s="14" t="s">
        <v>12</v>
      </c>
      <c r="G46" s="14" t="s">
        <v>114</v>
      </c>
      <c r="H46">
        <v>11</v>
      </c>
      <c r="I46" t="str">
        <f>IF($H15&lt;=$C$12,H46*MIN(C$36,C$44),"")</f>
        <v/>
      </c>
      <c r="J46" t="str">
        <f>IF($H15&lt;=$C$12,$C$4*COS($C$10)*COS(MIN(C$36,C$44))+K45*SIN(MIN(C$36,C$44)),"")</f>
        <v/>
      </c>
      <c r="K46" t="str">
        <f>IF($H15&lt;=$C$12,-$C$4*COS($C$10)*SIN(MIN(C$36,C$44))+K45*COS(MIN(C$36,C$44)),"")</f>
        <v/>
      </c>
      <c r="L46" t="str">
        <f>IF($H15&lt;=$C$12,L45+J46,"")</f>
        <v/>
      </c>
      <c r="M46" t="str">
        <f>IF($H15&lt;=$C$12,M45+K46,"")</f>
        <v/>
      </c>
    </row>
    <row r="47" spans="1:48" x14ac:dyDescent="0.25">
      <c r="A47" t="s">
        <v>68</v>
      </c>
      <c r="C47">
        <f>ASIN(2*C$39/C$42)</f>
        <v>4.5714287306511332E-4</v>
      </c>
      <c r="D47" t="s">
        <v>13</v>
      </c>
      <c r="E47">
        <f>DEGREES(C47)</f>
        <v>2.6192357261115712E-2</v>
      </c>
      <c r="F47" t="s">
        <v>12</v>
      </c>
      <c r="H47">
        <v>12</v>
      </c>
      <c r="I47" t="str">
        <f>IF($H16&lt;=$C$12,H47*MIN(C$36,C$44),"")</f>
        <v/>
      </c>
      <c r="J47" t="str">
        <f>IF($H16&lt;=$C$12,$C$4*COS($C$10)*COS(MIN(C$36,C$44))+K46*SIN(MIN(C$36,C$44)),"")</f>
        <v/>
      </c>
      <c r="K47" t="str">
        <f>IF($H16&lt;=$C$12,-$C$4*COS($C$10)*SIN(MIN(C$36,C$44))+K46*COS(MIN(C$36,C$44)),"")</f>
        <v/>
      </c>
      <c r="L47" t="str">
        <f>IF($H16&lt;=$C$12,L46+J47,"")</f>
        <v/>
      </c>
      <c r="M47" t="str">
        <f>IF($H16&lt;=$C$12,M46+K47,"")</f>
        <v/>
      </c>
    </row>
    <row r="48" spans="1:48" x14ac:dyDescent="0.25">
      <c r="H48">
        <v>13</v>
      </c>
      <c r="I48" t="str">
        <f>IF($H17&lt;=$C$12,H48*MIN(C$36,C$44),"")</f>
        <v/>
      </c>
      <c r="J48" t="str">
        <f>IF($H17&lt;=$C$12,$C$4*COS($C$10)*COS(MIN(C$36,C$44))+K47*SIN(MIN(C$36,C$44)),"")</f>
        <v/>
      </c>
      <c r="K48" t="str">
        <f>IF($H17&lt;=$C$12,-$C$4*COS($C$10)*SIN(MIN(C$36,C$44))+K47*COS(MIN(C$36,C$44)),"")</f>
        <v/>
      </c>
      <c r="L48" t="str">
        <f>IF($H17&lt;=$C$12,L47+J48,"")</f>
        <v/>
      </c>
      <c r="M48" t="str">
        <f>IF($H17&lt;=$C$12,M47+K48,"")</f>
        <v/>
      </c>
    </row>
    <row r="49" spans="1:13" x14ac:dyDescent="0.25">
      <c r="H49">
        <v>14</v>
      </c>
      <c r="I49" t="str">
        <f>IF($H18&lt;=$C$12,H49*MIN(C$36,C$44),"")</f>
        <v/>
      </c>
      <c r="J49" t="str">
        <f>IF($H18&lt;=$C$12,$C$4*COS($C$10)*COS(MIN(C$36,C$44))+K48*SIN(MIN(C$36,C$44)),"")</f>
        <v/>
      </c>
      <c r="K49" t="str">
        <f>IF($H18&lt;=$C$12,-$C$4*COS($C$10)*SIN(MIN(C$36,C$44))+K48*COS(MIN(C$36,C$44)),"")</f>
        <v/>
      </c>
      <c r="L49" t="str">
        <f>IF($H18&lt;=$C$12,L48+J49,"")</f>
        <v/>
      </c>
      <c r="M49" t="str">
        <f>IF($H18&lt;=$C$12,M48+K49,"")</f>
        <v/>
      </c>
    </row>
    <row r="50" spans="1:13" x14ac:dyDescent="0.25">
      <c r="H50">
        <v>15</v>
      </c>
      <c r="I50" t="str">
        <f>IF($H19&lt;=$C$12,H50*MIN(C$36,C$44),"")</f>
        <v/>
      </c>
      <c r="J50" t="str">
        <f>IF($H19&lt;=$C$12,$C$4*COS($C$10)*COS(MIN(C$36,C$44))+K49*SIN(MIN(C$36,C$44)),"")</f>
        <v/>
      </c>
      <c r="K50" t="str">
        <f>IF($H19&lt;=$C$12,-$C$4*COS($C$10)*SIN(MIN(C$36,C$44))+K49*COS(MIN(C$36,C$44)),"")</f>
        <v/>
      </c>
      <c r="L50" t="str">
        <f>IF($H19&lt;=$C$12,L49+J50,"")</f>
        <v/>
      </c>
      <c r="M50" t="str">
        <f>IF($H19&lt;=$C$12,M49+K50,"")</f>
        <v/>
      </c>
    </row>
    <row r="51" spans="1:13" x14ac:dyDescent="0.25">
      <c r="H51">
        <v>16</v>
      </c>
      <c r="I51" t="str">
        <f>IF($H20&lt;=$C$12,H51*MIN(C$36,C$44),"")</f>
        <v/>
      </c>
      <c r="J51" t="str">
        <f>IF($H20&lt;=$C$12,$C$4*COS($C$10)*COS(MIN(C$36,C$44))+K50*SIN(MIN(C$36,C$44)),"")</f>
        <v/>
      </c>
      <c r="K51" t="str">
        <f>IF($H20&lt;=$C$12,-$C$4*COS($C$10)*SIN(MIN(C$36,C$44))+K50*COS(MIN(C$36,C$44)),"")</f>
        <v/>
      </c>
      <c r="L51" t="str">
        <f>IF($H20&lt;=$C$12,L50+J51,"")</f>
        <v/>
      </c>
      <c r="M51" t="str">
        <f>IF($H20&lt;=$C$12,M50+K51,"")</f>
        <v/>
      </c>
    </row>
    <row r="52" spans="1:13" x14ac:dyDescent="0.25">
      <c r="H52">
        <v>17</v>
      </c>
      <c r="I52" t="str">
        <f>IF($H21&lt;=$C$12,H52*MIN(C$36,C$44),"")</f>
        <v/>
      </c>
      <c r="J52" t="str">
        <f>IF($H21&lt;=$C$12,$C$4*COS($C$10)*COS(MIN(C$36,C$44))+K51*SIN(MIN(C$36,C$44)),"")</f>
        <v/>
      </c>
      <c r="K52" t="str">
        <f>IF($H21&lt;=$C$12,-$C$4*COS($C$10)*SIN(MIN(C$36,C$44))+K51*COS(MIN(C$36,C$44)),"")</f>
        <v/>
      </c>
      <c r="L52" t="str">
        <f>IF($H21&lt;=$C$12,L51+J52,"")</f>
        <v/>
      </c>
      <c r="M52" t="str">
        <f>IF($H21&lt;=$C$12,M51+K52,"")</f>
        <v/>
      </c>
    </row>
    <row r="53" spans="1:13" x14ac:dyDescent="0.25">
      <c r="H53">
        <v>18</v>
      </c>
      <c r="I53" t="str">
        <f>IF($H22&lt;=$C$12,H53*MIN(C$36,C$44),"")</f>
        <v/>
      </c>
      <c r="J53" t="str">
        <f>IF($H22&lt;=$C$12,$C$4*COS($C$10)*COS(MIN(C$36,C$44))+K52*SIN(MIN(C$36,C$44)),"")</f>
        <v/>
      </c>
      <c r="K53" t="str">
        <f>IF($H22&lt;=$C$12,-$C$4*COS($C$10)*SIN(MIN(C$36,C$44))+K52*COS(MIN(C$36,C$44)),"")</f>
        <v/>
      </c>
      <c r="L53" t="str">
        <f>IF($H22&lt;=$C$12,L52+J53,"")</f>
        <v/>
      </c>
      <c r="M53" t="str">
        <f>IF($H22&lt;=$C$12,M52+K53,"")</f>
        <v/>
      </c>
    </row>
    <row r="54" spans="1:13" x14ac:dyDescent="0.25">
      <c r="H54">
        <v>19</v>
      </c>
      <c r="I54" t="str">
        <f>IF($H23&lt;=$C$12,H54*MIN(C$36,C$44),"")</f>
        <v/>
      </c>
      <c r="J54" t="str">
        <f>IF($H23&lt;=$C$12,$C$4*COS($C$10)*COS(MIN(C$36,C$44))+K53*SIN(MIN(C$36,C$44)),"")</f>
        <v/>
      </c>
      <c r="K54" t="str">
        <f>IF($H23&lt;=$C$12,-$C$4*COS($C$10)*SIN(MIN(C$36,C$44))+K53*COS(MIN(C$36,C$44)),"")</f>
        <v/>
      </c>
      <c r="L54" t="str">
        <f>IF($H23&lt;=$C$12,L53+J54,"")</f>
        <v/>
      </c>
      <c r="M54" t="str">
        <f>IF($H23&lt;=$C$12,M53+K54,"")</f>
        <v/>
      </c>
    </row>
    <row r="55" spans="1:13" x14ac:dyDescent="0.25">
      <c r="H55">
        <v>20</v>
      </c>
      <c r="I55" t="str">
        <f>IF($H24&lt;=$C$12,H55*MIN(C$36,C$44),"")</f>
        <v/>
      </c>
      <c r="J55" t="str">
        <f>IF($H24&lt;=$C$12,$C$4*COS($C$10)*COS(MIN(C$36,C$44))+K54*SIN(MIN(C$36,C$44)),"")</f>
        <v/>
      </c>
      <c r="K55" t="str">
        <f>IF($H24&lt;=$C$12,-$C$4*COS($C$10)*SIN(MIN(C$36,C$44))+K54*COS(MIN(C$36,C$44)),"")</f>
        <v/>
      </c>
      <c r="L55" t="str">
        <f>IF($H24&lt;=$C$12,L54+J55,"")</f>
        <v/>
      </c>
      <c r="M55" t="str">
        <f>IF($H24&lt;=$C$12,M54+K55,"")</f>
        <v/>
      </c>
    </row>
    <row r="58" spans="1:13" ht="15.75" x14ac:dyDescent="0.25">
      <c r="A58" s="25" t="s">
        <v>82</v>
      </c>
      <c r="B58" s="1"/>
      <c r="C58" s="1"/>
      <c r="D58" s="1"/>
      <c r="E58" s="1"/>
      <c r="F58" s="1"/>
      <c r="G58" s="26"/>
      <c r="H58" s="1"/>
    </row>
    <row r="59" spans="1:13" x14ac:dyDescent="0.25">
      <c r="A59" s="14" t="s">
        <v>109</v>
      </c>
      <c r="C59" s="27">
        <f>C5</f>
        <v>0.375</v>
      </c>
      <c r="D59" s="5" t="s">
        <v>1</v>
      </c>
      <c r="E59" s="5">
        <f t="shared" ref="E59:E62" si="27">IFERROR(C59*25.4,0)</f>
        <v>9.5249999999999986</v>
      </c>
      <c r="F59" s="27" t="s">
        <v>2</v>
      </c>
      <c r="G59" s="26"/>
      <c r="H59" s="26"/>
      <c r="I59" s="26"/>
    </row>
    <row r="60" spans="1:13" x14ac:dyDescent="0.25">
      <c r="A60" s="14" t="s">
        <v>110</v>
      </c>
      <c r="C60" s="27">
        <f>MIN(C29:C31)</f>
        <v>0.375</v>
      </c>
      <c r="D60" s="5" t="s">
        <v>1</v>
      </c>
      <c r="E60" s="5">
        <f t="shared" si="27"/>
        <v>9.5249999999999986</v>
      </c>
      <c r="F60" s="27" t="s">
        <v>2</v>
      </c>
      <c r="G60" s="26"/>
      <c r="H60" s="26"/>
      <c r="I60" s="26"/>
    </row>
    <row r="61" spans="1:13" x14ac:dyDescent="0.25">
      <c r="A61" s="14" t="s">
        <v>83</v>
      </c>
      <c r="C61" s="27">
        <f>C59*C60^3/12</f>
        <v>1.64794921875E-3</v>
      </c>
      <c r="D61" s="5" t="s">
        <v>84</v>
      </c>
      <c r="E61" s="27">
        <f>E59*E60^3/12</f>
        <v>685.92825263671841</v>
      </c>
      <c r="F61" s="27" t="s">
        <v>85</v>
      </c>
      <c r="G61" s="26"/>
      <c r="H61" s="28"/>
      <c r="I61" s="26"/>
    </row>
    <row r="62" spans="1:13" x14ac:dyDescent="0.25">
      <c r="A62" s="14" t="s">
        <v>86</v>
      </c>
      <c r="C62" s="29">
        <f>C4</f>
        <v>2.25</v>
      </c>
      <c r="D62" s="1" t="s">
        <v>1</v>
      </c>
      <c r="E62" s="1">
        <f t="shared" si="27"/>
        <v>57.15</v>
      </c>
      <c r="F62" s="29" t="s">
        <v>2</v>
      </c>
      <c r="G62" s="28"/>
      <c r="H62" s="1"/>
      <c r="I62" s="1"/>
    </row>
    <row r="63" spans="1:13" x14ac:dyDescent="0.25">
      <c r="A63" s="30" t="s">
        <v>87</v>
      </c>
      <c r="B63" s="42"/>
      <c r="C63" s="31">
        <f>E63*2.20462/9.80665</f>
        <v>2.2480867574554</v>
      </c>
      <c r="D63" s="31" t="s">
        <v>111</v>
      </c>
      <c r="E63" s="32">
        <v>10</v>
      </c>
      <c r="F63" s="32" t="s">
        <v>9</v>
      </c>
      <c r="G63" s="33"/>
      <c r="H63" s="33"/>
      <c r="I63" s="26"/>
    </row>
    <row r="64" spans="1:13" x14ac:dyDescent="0.25">
      <c r="A64" s="14" t="s">
        <v>88</v>
      </c>
      <c r="C64" s="34"/>
      <c r="D64" s="34"/>
      <c r="E64" s="29">
        <f>68900</f>
        <v>68900</v>
      </c>
      <c r="F64" s="29" t="s">
        <v>89</v>
      </c>
      <c r="G64" s="28"/>
      <c r="H64" s="28"/>
      <c r="I64" s="26"/>
    </row>
    <row r="65" spans="1:9" x14ac:dyDescent="0.25">
      <c r="A65" s="14" t="s">
        <v>90</v>
      </c>
      <c r="C65" s="34"/>
      <c r="D65" s="34"/>
      <c r="E65" s="29">
        <f>2700/10^9</f>
        <v>2.7E-6</v>
      </c>
      <c r="F65" s="29" t="s">
        <v>91</v>
      </c>
      <c r="G65" s="1"/>
      <c r="H65" s="1"/>
      <c r="I65" s="26"/>
    </row>
    <row r="66" spans="1:9" x14ac:dyDescent="0.25">
      <c r="A66" s="14" t="s">
        <v>92</v>
      </c>
      <c r="C66" s="34"/>
      <c r="D66" s="34"/>
      <c r="E66" s="27">
        <f>3*E64*E61/E62^3</f>
        <v>759.57465277777749</v>
      </c>
      <c r="F66" s="27" t="s">
        <v>93</v>
      </c>
      <c r="G66" s="27">
        <f>E66/10^3</f>
        <v>0.75957465277777747</v>
      </c>
      <c r="H66" s="27" t="s">
        <v>94</v>
      </c>
      <c r="I66" s="26"/>
    </row>
    <row r="67" spans="1:9" x14ac:dyDescent="0.25">
      <c r="A67" s="14" t="s">
        <v>95</v>
      </c>
      <c r="C67" s="8">
        <f>E67/25.4</f>
        <v>5.1831743721542621E-4</v>
      </c>
      <c r="D67" s="8" t="s">
        <v>1</v>
      </c>
      <c r="E67" s="35">
        <f>E63/E66</f>
        <v>1.3165262905271825E-2</v>
      </c>
      <c r="F67" s="36" t="s">
        <v>2</v>
      </c>
      <c r="G67" s="36">
        <f>E67*10^3</f>
        <v>13.165262905271826</v>
      </c>
      <c r="H67" s="36" t="s">
        <v>96</v>
      </c>
      <c r="I67" s="26" t="s">
        <v>97</v>
      </c>
    </row>
    <row r="68" spans="1:9" x14ac:dyDescent="0.25">
      <c r="A68" s="14" t="s">
        <v>98</v>
      </c>
      <c r="C68" s="5">
        <f>E68*2.2</f>
        <v>3.0798718644374987E-2</v>
      </c>
      <c r="D68" s="5" t="s">
        <v>99</v>
      </c>
      <c r="E68" s="5">
        <f>E65*E59*E60*E62</f>
        <v>1.3999417565624993E-2</v>
      </c>
      <c r="F68" s="5" t="s">
        <v>100</v>
      </c>
      <c r="G68" s="1"/>
      <c r="H68" s="1"/>
      <c r="I68" s="26"/>
    </row>
    <row r="69" spans="1:9" x14ac:dyDescent="0.25">
      <c r="A69" s="30" t="s">
        <v>101</v>
      </c>
      <c r="B69" s="42"/>
      <c r="C69" s="31"/>
      <c r="D69" s="31"/>
      <c r="E69" s="37">
        <f>(1/(2*PI()))*SQRT(E66*1000/(E68))</f>
        <v>1172.3313523553325</v>
      </c>
      <c r="F69" s="38" t="s">
        <v>102</v>
      </c>
      <c r="G69" s="33"/>
      <c r="H69" s="33"/>
      <c r="I69" s="26"/>
    </row>
    <row r="70" spans="1:9" x14ac:dyDescent="0.25">
      <c r="A70" s="14" t="s">
        <v>103</v>
      </c>
      <c r="C70" s="34"/>
      <c r="D70" s="34"/>
      <c r="E70" s="29">
        <f>200*10^3</f>
        <v>200000</v>
      </c>
      <c r="F70" s="29" t="s">
        <v>89</v>
      </c>
      <c r="G70" s="28"/>
      <c r="H70" s="28"/>
      <c r="I70" s="26"/>
    </row>
    <row r="71" spans="1:9" x14ac:dyDescent="0.25">
      <c r="A71" s="14" t="s">
        <v>104</v>
      </c>
      <c r="C71" s="34"/>
      <c r="D71" s="34"/>
      <c r="E71" s="29">
        <f>8000/10^9</f>
        <v>7.9999999999999996E-6</v>
      </c>
      <c r="F71" s="29" t="s">
        <v>91</v>
      </c>
      <c r="G71" s="1"/>
      <c r="H71" s="1"/>
      <c r="I71" s="26"/>
    </row>
    <row r="72" spans="1:9" x14ac:dyDescent="0.25">
      <c r="A72" s="14" t="s">
        <v>105</v>
      </c>
      <c r="C72" s="34"/>
      <c r="D72" s="34"/>
      <c r="E72" s="27">
        <f>3*E70*E61/E62^3</f>
        <v>2204.8611111111104</v>
      </c>
      <c r="F72" s="27" t="s">
        <v>93</v>
      </c>
      <c r="G72" s="27">
        <f>E72/10^3</f>
        <v>2.2048611111111103</v>
      </c>
      <c r="H72" s="27" t="s">
        <v>94</v>
      </c>
      <c r="I72" s="26" t="s">
        <v>97</v>
      </c>
    </row>
    <row r="73" spans="1:9" x14ac:dyDescent="0.25">
      <c r="A73" s="14" t="s">
        <v>106</v>
      </c>
      <c r="C73" s="8">
        <f>E73/25.4</f>
        <v>1.7856035712071429E-4</v>
      </c>
      <c r="D73" s="8" t="s">
        <v>1</v>
      </c>
      <c r="E73" s="35">
        <f>E63/E72</f>
        <v>4.535433070866143E-3</v>
      </c>
      <c r="F73" s="35" t="s">
        <v>2</v>
      </c>
      <c r="G73" s="36">
        <f>E73*10^3</f>
        <v>4.5354330708661426</v>
      </c>
      <c r="H73" s="36" t="s">
        <v>96</v>
      </c>
      <c r="I73" s="26"/>
    </row>
    <row r="74" spans="1:9" x14ac:dyDescent="0.25">
      <c r="A74" s="14" t="s">
        <v>107</v>
      </c>
      <c r="C74" s="5">
        <f>E74*2.2</f>
        <v>9.125546264999998E-2</v>
      </c>
      <c r="D74" s="5" t="s">
        <v>99</v>
      </c>
      <c r="E74" s="5">
        <f>E71*E59*E60*E62</f>
        <v>4.1479755749999986E-2</v>
      </c>
      <c r="F74" s="5" t="s">
        <v>100</v>
      </c>
      <c r="G74" s="28"/>
      <c r="H74" s="28"/>
      <c r="I74" s="26"/>
    </row>
    <row r="75" spans="1:9" x14ac:dyDescent="0.25">
      <c r="A75" s="14" t="s">
        <v>108</v>
      </c>
      <c r="C75" s="34"/>
      <c r="D75" s="34"/>
      <c r="E75" s="43">
        <f>(1/(2*PI()))*SQRT(E72*1000/(E74))</f>
        <v>1160.3597484098525</v>
      </c>
      <c r="F75" s="27" t="s">
        <v>102</v>
      </c>
      <c r="G75" s="28"/>
      <c r="H75" s="28"/>
      <c r="I75" s="26"/>
    </row>
  </sheetData>
  <mergeCells count="10">
    <mergeCell ref="AR33:AV33"/>
    <mergeCell ref="I33:M33"/>
    <mergeCell ref="N33:R33"/>
    <mergeCell ref="S33:W33"/>
    <mergeCell ref="X33:AB33"/>
    <mergeCell ref="M2:P2"/>
    <mergeCell ref="I2:L2"/>
    <mergeCell ref="AC33:AG33"/>
    <mergeCell ref="AH33:AL33"/>
    <mergeCell ref="AM33:AQ33"/>
  </mergeCells>
  <conditionalFormatting sqref="R2">
    <cfRule type="cellIs" dxfId="0" priority="2" operator="between">
      <formula>$C$15</formula>
      <formula>$C$20</formula>
    </cfRule>
  </conditionalFormatting>
  <pageMargins left="0.7" right="0.7" top="0.75" bottom="0.75" header="0.3" footer="0.3"/>
  <pageSetup scale="45" fitToWidth="0" orientation="landscape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12</vt:i4>
      </vt:variant>
    </vt:vector>
  </HeadingPairs>
  <TitlesOfParts>
    <vt:vector size="15" baseType="lpstr">
      <vt:lpstr>Sheet1</vt:lpstr>
      <vt:lpstr>Sheet2</vt:lpstr>
      <vt:lpstr>Sheet3</vt:lpstr>
      <vt:lpstr>c_x_1</vt:lpstr>
      <vt:lpstr>c_x_2</vt:lpstr>
      <vt:lpstr>c_y_1</vt:lpstr>
      <vt:lpstr>c_y_2</vt:lpstr>
      <vt:lpstr>e_x_1</vt:lpstr>
      <vt:lpstr>e_x_2</vt:lpstr>
      <vt:lpstr>e_z_1</vt:lpstr>
      <vt:lpstr>e_z_2</vt:lpstr>
      <vt:lpstr>r_x_1</vt:lpstr>
      <vt:lpstr>r_x_2</vt:lpstr>
      <vt:lpstr>r_z_1</vt:lpstr>
      <vt:lpstr>r_z_2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Parker</dc:creator>
  <cp:lastModifiedBy>Parker</cp:lastModifiedBy>
  <cp:lastPrinted>2016-03-30T15:26:11Z</cp:lastPrinted>
  <dcterms:created xsi:type="dcterms:W3CDTF">2016-03-11T19:37:37Z</dcterms:created>
  <dcterms:modified xsi:type="dcterms:W3CDTF">2016-03-30T17:29:47Z</dcterms:modified>
</cp:coreProperties>
</file>